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 activeTab="2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AF78" i="3"/>
  <c r="AE78"/>
  <c r="AE79" s="1"/>
  <c r="AD78"/>
  <c r="AC78"/>
  <c r="AB78"/>
  <c r="AA78"/>
  <c r="Z78"/>
  <c r="Y78"/>
  <c r="X78"/>
  <c r="W78"/>
  <c r="U78"/>
  <c r="T78"/>
  <c r="S78"/>
  <c r="R78"/>
  <c r="Q78"/>
  <c r="L78"/>
  <c r="K78"/>
  <c r="J78"/>
  <c r="I78"/>
  <c r="H78"/>
  <c r="G77"/>
  <c r="P77" s="1"/>
  <c r="G76"/>
  <c r="P76" s="1"/>
  <c r="G75"/>
  <c r="P75" s="1"/>
  <c r="G74"/>
  <c r="P74" s="1"/>
  <c r="AD72"/>
  <c r="AD79" s="1"/>
  <c r="AA72"/>
  <c r="AA79" s="1"/>
  <c r="Y72"/>
  <c r="Y79" s="1"/>
  <c r="X72"/>
  <c r="W72"/>
  <c r="W79" s="1"/>
  <c r="U72"/>
  <c r="T72"/>
  <c r="T79" s="1"/>
  <c r="S72"/>
  <c r="R72"/>
  <c r="R79" s="1"/>
  <c r="L72"/>
  <c r="L79" s="1"/>
  <c r="K72"/>
  <c r="K79" s="1"/>
  <c r="AE13" s="1"/>
  <c r="AE12" s="1"/>
  <c r="J72"/>
  <c r="J79" s="1"/>
  <c r="AD13" s="1"/>
  <c r="I72"/>
  <c r="I79" s="1"/>
  <c r="AC13" s="1"/>
  <c r="H72"/>
  <c r="H79" s="1"/>
  <c r="AB71"/>
  <c r="Z71"/>
  <c r="G71"/>
  <c r="AC71" s="1"/>
  <c r="AB70"/>
  <c r="Z70"/>
  <c r="G70"/>
  <c r="AF70" s="1"/>
  <c r="AB69"/>
  <c r="Z69"/>
  <c r="G69"/>
  <c r="AF69" s="1"/>
  <c r="AB68"/>
  <c r="Z68"/>
  <c r="N68"/>
  <c r="G68"/>
  <c r="AF68" s="1"/>
  <c r="AB67"/>
  <c r="Z67"/>
  <c r="G67"/>
  <c r="AF67" s="1"/>
  <c r="AB66"/>
  <c r="Z66"/>
  <c r="N66"/>
  <c r="G66"/>
  <c r="AF66" s="1"/>
  <c r="AB65"/>
  <c r="Z65"/>
  <c r="G65"/>
  <c r="AF65" s="1"/>
  <c r="AB64"/>
  <c r="Z64"/>
  <c r="G64"/>
  <c r="AF64" s="1"/>
  <c r="AB63"/>
  <c r="Z63"/>
  <c r="G63"/>
  <c r="AC63" s="1"/>
  <c r="AB62"/>
  <c r="Z62"/>
  <c r="G62"/>
  <c r="AC62" s="1"/>
  <c r="AB61"/>
  <c r="Z61"/>
  <c r="N61"/>
  <c r="G61"/>
  <c r="AC61" s="1"/>
  <c r="AB60"/>
  <c r="Z60"/>
  <c r="G60"/>
  <c r="AC60" s="1"/>
  <c r="AB59"/>
  <c r="Z59"/>
  <c r="G59"/>
  <c r="AC59" s="1"/>
  <c r="AB58"/>
  <c r="Z58"/>
  <c r="G58"/>
  <c r="AF58" s="1"/>
  <c r="AB57"/>
  <c r="Z57"/>
  <c r="G57"/>
  <c r="AF57" s="1"/>
  <c r="AB56"/>
  <c r="Z56"/>
  <c r="G56"/>
  <c r="AF56" s="1"/>
  <c r="AB55"/>
  <c r="Z55"/>
  <c r="G55"/>
  <c r="AF55" s="1"/>
  <c r="AB54"/>
  <c r="Z54"/>
  <c r="G54"/>
  <c r="AF54" s="1"/>
  <c r="AB53"/>
  <c r="Z53"/>
  <c r="G53"/>
  <c r="AF53" s="1"/>
  <c r="AB52"/>
  <c r="Z52"/>
  <c r="G52"/>
  <c r="AF52" s="1"/>
  <c r="AB51"/>
  <c r="Z51"/>
  <c r="G51"/>
  <c r="AF51" s="1"/>
  <c r="AB50"/>
  <c r="Z50"/>
  <c r="G50"/>
  <c r="AF50" s="1"/>
  <c r="AB49"/>
  <c r="Z49"/>
  <c r="G49"/>
  <c r="AF49" s="1"/>
  <c r="AB48"/>
  <c r="Z48"/>
  <c r="G48"/>
  <c r="AF48" s="1"/>
  <c r="AB47"/>
  <c r="Z47"/>
  <c r="G47"/>
  <c r="AF47" s="1"/>
  <c r="AB46"/>
  <c r="Z46"/>
  <c r="G46"/>
  <c r="AF46" s="1"/>
  <c r="AB45"/>
  <c r="Z45"/>
  <c r="G45"/>
  <c r="AF45" s="1"/>
  <c r="AB44"/>
  <c r="Z44"/>
  <c r="G44"/>
  <c r="AF44" s="1"/>
  <c r="AB43"/>
  <c r="Z43"/>
  <c r="G43"/>
  <c r="AF43" s="1"/>
  <c r="AB42"/>
  <c r="Z42"/>
  <c r="G42"/>
  <c r="AF42" s="1"/>
  <c r="AB41"/>
  <c r="Z41"/>
  <c r="N41"/>
  <c r="G41"/>
  <c r="AF41" s="1"/>
  <c r="AB40"/>
  <c r="Z40"/>
  <c r="G40"/>
  <c r="AF40" s="1"/>
  <c r="AB39"/>
  <c r="Z39"/>
  <c r="N39"/>
  <c r="G39"/>
  <c r="AF39" s="1"/>
  <c r="AF38"/>
  <c r="AB38"/>
  <c r="Z38"/>
  <c r="N38"/>
  <c r="G38"/>
  <c r="AC38" s="1"/>
  <c r="AF37"/>
  <c r="AB37"/>
  <c r="Z37"/>
  <c r="N37"/>
  <c r="G37"/>
  <c r="AC37" s="1"/>
  <c r="AF36"/>
  <c r="AB36"/>
  <c r="Z36"/>
  <c r="N36"/>
  <c r="G36"/>
  <c r="AC36" s="1"/>
  <c r="AF35"/>
  <c r="AB35"/>
  <c r="Z35"/>
  <c r="N35"/>
  <c r="G35"/>
  <c r="AC35" s="1"/>
  <c r="AF34"/>
  <c r="AB34"/>
  <c r="Z34"/>
  <c r="N34"/>
  <c r="G34"/>
  <c r="AC34" s="1"/>
  <c r="AF33"/>
  <c r="AB33"/>
  <c r="Z33"/>
  <c r="N33"/>
  <c r="G33"/>
  <c r="AC33" s="1"/>
  <c r="AF32"/>
  <c r="AB32"/>
  <c r="Z32"/>
  <c r="N32"/>
  <c r="G32"/>
  <c r="AC32" s="1"/>
  <c r="AF31"/>
  <c r="AB31"/>
  <c r="Z31"/>
  <c r="N31"/>
  <c r="G31"/>
  <c r="AC31" s="1"/>
  <c r="AF30"/>
  <c r="AB30"/>
  <c r="Z30"/>
  <c r="N30"/>
  <c r="G30"/>
  <c r="AC30" s="1"/>
  <c r="AF29"/>
  <c r="AB29"/>
  <c r="Z29"/>
  <c r="N29"/>
  <c r="G29"/>
  <c r="AC29" s="1"/>
  <c r="AF28"/>
  <c r="AB28"/>
  <c r="Z28"/>
  <c r="N28"/>
  <c r="G28"/>
  <c r="AC28" s="1"/>
  <c r="AF27"/>
  <c r="AB27"/>
  <c r="Z27"/>
  <c r="N27"/>
  <c r="G27"/>
  <c r="AC27" s="1"/>
  <c r="AF26"/>
  <c r="AB26"/>
  <c r="Z26"/>
  <c r="N26"/>
  <c r="G26"/>
  <c r="AC26" s="1"/>
  <c r="AF25"/>
  <c r="AB25"/>
  <c r="Z25"/>
  <c r="N25"/>
  <c r="G25"/>
  <c r="AC25" s="1"/>
  <c r="AF24"/>
  <c r="AB24"/>
  <c r="Z24"/>
  <c r="N24"/>
  <c r="G24"/>
  <c r="AC24" s="1"/>
  <c r="AF23"/>
  <c r="AB23"/>
  <c r="Z23"/>
  <c r="N23"/>
  <c r="G23"/>
  <c r="AC23" s="1"/>
  <c r="AF22"/>
  <c r="AB22"/>
  <c r="Z22"/>
  <c r="N22"/>
  <c r="G22"/>
  <c r="AC22" s="1"/>
  <c r="AF21"/>
  <c r="AB21"/>
  <c r="Z21"/>
  <c r="N21"/>
  <c r="G21"/>
  <c r="AC21" s="1"/>
  <c r="AF20"/>
  <c r="AB20"/>
  <c r="AB72" s="1"/>
  <c r="AB79" s="1"/>
  <c r="Z20"/>
  <c r="Z72" s="1"/>
  <c r="Z79" s="1"/>
  <c r="N20"/>
  <c r="G20"/>
  <c r="AC20" s="1"/>
  <c r="AG15"/>
  <c r="AG14"/>
  <c r="AF13"/>
  <c r="AF12" s="1"/>
  <c r="AD12"/>
  <c r="AG11"/>
  <c r="AG10"/>
  <c r="AG9"/>
  <c r="AF8"/>
  <c r="AE8"/>
  <c r="AD8"/>
  <c r="AC8"/>
  <c r="AG7"/>
  <c r="AG6"/>
  <c r="AE5"/>
  <c r="AD5"/>
  <c r="AC5"/>
  <c r="AG4"/>
  <c r="AG3"/>
  <c r="AG2"/>
  <c r="I71" i="2"/>
  <c r="O70"/>
  <c r="E70"/>
  <c r="L69"/>
  <c r="H69"/>
  <c r="K68"/>
  <c r="H68"/>
  <c r="P68" s="1"/>
  <c r="H67"/>
  <c r="L66"/>
  <c r="H66"/>
  <c r="K65"/>
  <c r="H65"/>
  <c r="P65" s="1"/>
  <c r="L64"/>
  <c r="K64"/>
  <c r="P64" s="1"/>
  <c r="H64"/>
  <c r="L63"/>
  <c r="K63"/>
  <c r="P63" s="1"/>
  <c r="H63"/>
  <c r="L62"/>
  <c r="L70" s="1"/>
  <c r="K62"/>
  <c r="P62" s="1"/>
  <c r="H62"/>
  <c r="H61"/>
  <c r="N60"/>
  <c r="N70" s="1"/>
  <c r="K60"/>
  <c r="H60"/>
  <c r="H59"/>
  <c r="K58"/>
  <c r="H58"/>
  <c r="P58" s="1"/>
  <c r="H57"/>
  <c r="O56"/>
  <c r="O71" s="1"/>
  <c r="N56"/>
  <c r="N71" s="1"/>
  <c r="L56"/>
  <c r="E56"/>
  <c r="E71" s="1"/>
  <c r="J55"/>
  <c r="H55"/>
  <c r="K55" s="1"/>
  <c r="P55" s="1"/>
  <c r="J54"/>
  <c r="H54"/>
  <c r="K54" s="1"/>
  <c r="P54" s="1"/>
  <c r="J53"/>
  <c r="H53"/>
  <c r="K53" s="1"/>
  <c r="P53" s="1"/>
  <c r="H52"/>
  <c r="M51"/>
  <c r="J51"/>
  <c r="H51"/>
  <c r="H50"/>
  <c r="M49"/>
  <c r="J49"/>
  <c r="H49"/>
  <c r="J48"/>
  <c r="H48"/>
  <c r="K48" s="1"/>
  <c r="P48" s="1"/>
  <c r="J47"/>
  <c r="H47"/>
  <c r="K47" s="1"/>
  <c r="P47" s="1"/>
  <c r="J46"/>
  <c r="H46"/>
  <c r="K46" s="1"/>
  <c r="P46" s="1"/>
  <c r="J45"/>
  <c r="H45"/>
  <c r="K45" s="1"/>
  <c r="P45" s="1"/>
  <c r="J44"/>
  <c r="H44"/>
  <c r="K44" s="1"/>
  <c r="P44" s="1"/>
  <c r="J43"/>
  <c r="H43"/>
  <c r="K43" s="1"/>
  <c r="P43" s="1"/>
  <c r="J42"/>
  <c r="H42"/>
  <c r="K42" s="1"/>
  <c r="P42" s="1"/>
  <c r="J41"/>
  <c r="H41"/>
  <c r="K41" s="1"/>
  <c r="P41" s="1"/>
  <c r="J40"/>
  <c r="H40"/>
  <c r="K40" s="1"/>
  <c r="P40" s="1"/>
  <c r="J39"/>
  <c r="H39"/>
  <c r="K39" s="1"/>
  <c r="P39" s="1"/>
  <c r="J38"/>
  <c r="H38"/>
  <c r="K38" s="1"/>
  <c r="P38" s="1"/>
  <c r="J37"/>
  <c r="H37"/>
  <c r="K37" s="1"/>
  <c r="P37" s="1"/>
  <c r="P36"/>
  <c r="K36"/>
  <c r="J36"/>
  <c r="H35"/>
  <c r="K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K21"/>
  <c r="J21"/>
  <c r="P21" s="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H56" s="1"/>
  <c r="O21" i="1"/>
  <c r="N21"/>
  <c r="M21"/>
  <c r="E21"/>
  <c r="L20"/>
  <c r="H20"/>
  <c r="L19"/>
  <c r="H19"/>
  <c r="L18"/>
  <c r="L21" s="1"/>
  <c r="J18"/>
  <c r="H18"/>
  <c r="J17"/>
  <c r="K17" s="1"/>
  <c r="K16"/>
  <c r="J16"/>
  <c r="P16" s="1"/>
  <c r="J15"/>
  <c r="K15" s="1"/>
  <c r="H15"/>
  <c r="H21" s="1"/>
  <c r="AG5" i="3" l="1"/>
  <c r="AG8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N40"/>
  <c r="P41"/>
  <c r="N50"/>
  <c r="N55"/>
  <c r="N56"/>
  <c r="P61"/>
  <c r="N62"/>
  <c r="N65"/>
  <c r="AG65" s="1"/>
  <c r="P66"/>
  <c r="N67"/>
  <c r="AG67" s="1"/>
  <c r="P68"/>
  <c r="S79"/>
  <c r="U79"/>
  <c r="X79"/>
  <c r="P40"/>
  <c r="P56"/>
  <c r="P65"/>
  <c r="P67"/>
  <c r="P78"/>
  <c r="AG13"/>
  <c r="AC12"/>
  <c r="AG12" s="1"/>
  <c r="O20"/>
  <c r="V20" s="1"/>
  <c r="Q20"/>
  <c r="AG20"/>
  <c r="O21"/>
  <c r="Q21"/>
  <c r="AG21" s="1"/>
  <c r="O22"/>
  <c r="Q22"/>
  <c r="AG22" s="1"/>
  <c r="O23"/>
  <c r="V23" s="1"/>
  <c r="Q23"/>
  <c r="O24"/>
  <c r="V24" s="1"/>
  <c r="Q24"/>
  <c r="AG24"/>
  <c r="O25"/>
  <c r="Q25"/>
  <c r="AG25" s="1"/>
  <c r="O26"/>
  <c r="Q26"/>
  <c r="AG26" s="1"/>
  <c r="O27"/>
  <c r="V27" s="1"/>
  <c r="Q27"/>
  <c r="O28"/>
  <c r="V28" s="1"/>
  <c r="Q28"/>
  <c r="AG28"/>
  <c r="O29"/>
  <c r="Q29"/>
  <c r="AG29" s="1"/>
  <c r="O30"/>
  <c r="Q30"/>
  <c r="AG30" s="1"/>
  <c r="O31"/>
  <c r="V31" s="1"/>
  <c r="Q31"/>
  <c r="O32"/>
  <c r="V32" s="1"/>
  <c r="Q32"/>
  <c r="O33"/>
  <c r="Q33"/>
  <c r="AG33" s="1"/>
  <c r="O34"/>
  <c r="Q34"/>
  <c r="AG34" s="1"/>
  <c r="O35"/>
  <c r="V35" s="1"/>
  <c r="Q35"/>
  <c r="O36"/>
  <c r="V36" s="1"/>
  <c r="AH36" s="1"/>
  <c r="Q36"/>
  <c r="AG36"/>
  <c r="O37"/>
  <c r="Q37"/>
  <c r="AG37" s="1"/>
  <c r="O38"/>
  <c r="Q38"/>
  <c r="AG38" s="1"/>
  <c r="O39"/>
  <c r="V39" s="1"/>
  <c r="Q39"/>
  <c r="AC39"/>
  <c r="O40"/>
  <c r="V40" s="1"/>
  <c r="Q40"/>
  <c r="AC40"/>
  <c r="O41"/>
  <c r="AG41" s="1"/>
  <c r="Q41"/>
  <c r="AC41"/>
  <c r="O42"/>
  <c r="Q42"/>
  <c r="AC42"/>
  <c r="O43"/>
  <c r="Q43"/>
  <c r="AC43"/>
  <c r="O44"/>
  <c r="Q44"/>
  <c r="AC44"/>
  <c r="O45"/>
  <c r="Q45"/>
  <c r="AC45"/>
  <c r="O46"/>
  <c r="Q46"/>
  <c r="AC46"/>
  <c r="O47"/>
  <c r="Q47"/>
  <c r="AC47"/>
  <c r="O48"/>
  <c r="Q48"/>
  <c r="AC48"/>
  <c r="O49"/>
  <c r="Q49"/>
  <c r="AC49"/>
  <c r="O50"/>
  <c r="Q50"/>
  <c r="AC50"/>
  <c r="O51"/>
  <c r="Q51"/>
  <c r="AC51"/>
  <c r="O52"/>
  <c r="Q52"/>
  <c r="AC52"/>
  <c r="O53"/>
  <c r="Q53"/>
  <c r="AC53"/>
  <c r="O54"/>
  <c r="Q54"/>
  <c r="AC54"/>
  <c r="O55"/>
  <c r="Q55"/>
  <c r="AC55"/>
  <c r="O56"/>
  <c r="AG56" s="1"/>
  <c r="Q56"/>
  <c r="AC56"/>
  <c r="O57"/>
  <c r="Q57"/>
  <c r="AC57"/>
  <c r="O58"/>
  <c r="Q58"/>
  <c r="AC58"/>
  <c r="N59"/>
  <c r="P59"/>
  <c r="AF59"/>
  <c r="N60"/>
  <c r="P60"/>
  <c r="AF60"/>
  <c r="AF61"/>
  <c r="P62"/>
  <c r="AF62"/>
  <c r="N63"/>
  <c r="P63"/>
  <c r="AF63"/>
  <c r="M64"/>
  <c r="O64"/>
  <c r="Q64"/>
  <c r="AC64"/>
  <c r="O65"/>
  <c r="Q65"/>
  <c r="AC65"/>
  <c r="O66"/>
  <c r="AG66" s="1"/>
  <c r="Q66"/>
  <c r="AC66"/>
  <c r="O67"/>
  <c r="V67" s="1"/>
  <c r="Q67"/>
  <c r="AC67"/>
  <c r="O68"/>
  <c r="V68" s="1"/>
  <c r="Q68"/>
  <c r="AC68"/>
  <c r="O69"/>
  <c r="Q69"/>
  <c r="AC69"/>
  <c r="O70"/>
  <c r="Q70"/>
  <c r="AC70"/>
  <c r="N71"/>
  <c r="P71"/>
  <c r="AF71"/>
  <c r="M74"/>
  <c r="O74"/>
  <c r="M75"/>
  <c r="O75"/>
  <c r="M76"/>
  <c r="O76"/>
  <c r="M77"/>
  <c r="O77"/>
  <c r="N42"/>
  <c r="P42"/>
  <c r="N43"/>
  <c r="P43"/>
  <c r="N44"/>
  <c r="P44"/>
  <c r="N45"/>
  <c r="P45"/>
  <c r="N46"/>
  <c r="P46"/>
  <c r="N47"/>
  <c r="P47"/>
  <c r="N48"/>
  <c r="P48"/>
  <c r="N49"/>
  <c r="P49"/>
  <c r="P50"/>
  <c r="V50" s="1"/>
  <c r="N51"/>
  <c r="P51"/>
  <c r="N52"/>
  <c r="P52"/>
  <c r="N53"/>
  <c r="P53"/>
  <c r="N54"/>
  <c r="P54"/>
  <c r="P55"/>
  <c r="N57"/>
  <c r="P57"/>
  <c r="N58"/>
  <c r="P58"/>
  <c r="M59"/>
  <c r="O59"/>
  <c r="Q59"/>
  <c r="O60"/>
  <c r="Q60"/>
  <c r="O61"/>
  <c r="Q61"/>
  <c r="O62"/>
  <c r="Q62"/>
  <c r="O63"/>
  <c r="Q63"/>
  <c r="N64"/>
  <c r="P64"/>
  <c r="N69"/>
  <c r="P69"/>
  <c r="N70"/>
  <c r="P70"/>
  <c r="M71"/>
  <c r="O71"/>
  <c r="Q71"/>
  <c r="N74"/>
  <c r="N75"/>
  <c r="N76"/>
  <c r="N77"/>
  <c r="K23" i="2"/>
  <c r="P23" s="1"/>
  <c r="K25"/>
  <c r="P25" s="1"/>
  <c r="K27"/>
  <c r="P27" s="1"/>
  <c r="K29"/>
  <c r="P29" s="1"/>
  <c r="K31"/>
  <c r="P31" s="1"/>
  <c r="K33"/>
  <c r="P33" s="1"/>
  <c r="K22"/>
  <c r="P22"/>
  <c r="K24"/>
  <c r="P24"/>
  <c r="K26"/>
  <c r="P26"/>
  <c r="K28"/>
  <c r="P28"/>
  <c r="K30"/>
  <c r="P30"/>
  <c r="K32"/>
  <c r="P32"/>
  <c r="K34"/>
  <c r="P34"/>
  <c r="L71"/>
  <c r="K12"/>
  <c r="P12" s="1"/>
  <c r="K13"/>
  <c r="P13" s="1"/>
  <c r="K14"/>
  <c r="P14" s="1"/>
  <c r="K15"/>
  <c r="P15" s="1"/>
  <c r="K16"/>
  <c r="P16" s="1"/>
  <c r="K17"/>
  <c r="P17" s="1"/>
  <c r="K18"/>
  <c r="P18" s="1"/>
  <c r="K19"/>
  <c r="P19" s="1"/>
  <c r="K20"/>
  <c r="P20" s="1"/>
  <c r="J35"/>
  <c r="P35"/>
  <c r="K49"/>
  <c r="P49" s="1"/>
  <c r="J50"/>
  <c r="M50"/>
  <c r="M56" s="1"/>
  <c r="M71" s="1"/>
  <c r="K51"/>
  <c r="P51" s="1"/>
  <c r="J52"/>
  <c r="M52"/>
  <c r="J56"/>
  <c r="J71" s="1"/>
  <c r="K57"/>
  <c r="P57" s="1"/>
  <c r="K59"/>
  <c r="P59" s="1"/>
  <c r="M60"/>
  <c r="M70" s="1"/>
  <c r="K61"/>
  <c r="P61" s="1"/>
  <c r="K66"/>
  <c r="P66" s="1"/>
  <c r="K67"/>
  <c r="P67" s="1"/>
  <c r="K69"/>
  <c r="P69" s="1"/>
  <c r="H70"/>
  <c r="H71" s="1"/>
  <c r="K50"/>
  <c r="P50" s="1"/>
  <c r="K52"/>
  <c r="P52" s="1"/>
  <c r="P15" i="1"/>
  <c r="P17"/>
  <c r="J21"/>
  <c r="K18"/>
  <c r="P18" s="1"/>
  <c r="K19"/>
  <c r="K21" s="1"/>
  <c r="K20"/>
  <c r="P20" s="1"/>
  <c r="AH68" i="3" l="1"/>
  <c r="AC72"/>
  <c r="AC79" s="1"/>
  <c r="AH32"/>
  <c r="V77"/>
  <c r="V75"/>
  <c r="AG62"/>
  <c r="AG61"/>
  <c r="AG55"/>
  <c r="P72"/>
  <c r="P79" s="1"/>
  <c r="AG68"/>
  <c r="V66"/>
  <c r="AH66" s="1"/>
  <c r="V65"/>
  <c r="AH65" s="1"/>
  <c r="AF72"/>
  <c r="AF79" s="1"/>
  <c r="V56"/>
  <c r="AH56" s="1"/>
  <c r="V55"/>
  <c r="AH55" s="1"/>
  <c r="AG50"/>
  <c r="AH50" s="1"/>
  <c r="V41"/>
  <c r="AH41" s="1"/>
  <c r="AG40"/>
  <c r="AG39"/>
  <c r="AH39" s="1"/>
  <c r="V38"/>
  <c r="AH38" s="1"/>
  <c r="V37"/>
  <c r="AG35"/>
  <c r="V34"/>
  <c r="AH34" s="1"/>
  <c r="V33"/>
  <c r="AG31"/>
  <c r="V30"/>
  <c r="AH30" s="1"/>
  <c r="V29"/>
  <c r="AG27"/>
  <c r="V26"/>
  <c r="AH26" s="1"/>
  <c r="V25"/>
  <c r="AG23"/>
  <c r="V22"/>
  <c r="AH22" s="1"/>
  <c r="V21"/>
  <c r="AH67"/>
  <c r="AH40"/>
  <c r="AH35"/>
  <c r="AG32"/>
  <c r="AH31"/>
  <c r="AH28"/>
  <c r="AH27"/>
  <c r="AH24"/>
  <c r="AH23"/>
  <c r="AH37"/>
  <c r="AH33"/>
  <c r="AH29"/>
  <c r="AH25"/>
  <c r="AH21"/>
  <c r="AG63"/>
  <c r="V63"/>
  <c r="AH63" s="1"/>
  <c r="N78"/>
  <c r="V74"/>
  <c r="V58"/>
  <c r="AG58"/>
  <c r="V57"/>
  <c r="AG57"/>
  <c r="V49"/>
  <c r="AG49"/>
  <c r="V48"/>
  <c r="AG48"/>
  <c r="V47"/>
  <c r="AG47"/>
  <c r="V46"/>
  <c r="AG46"/>
  <c r="V45"/>
  <c r="AG45"/>
  <c r="V44"/>
  <c r="AG44"/>
  <c r="V43"/>
  <c r="AG43"/>
  <c r="V42"/>
  <c r="AG42"/>
  <c r="AG71"/>
  <c r="V71"/>
  <c r="AH71" s="1"/>
  <c r="AG59"/>
  <c r="V59"/>
  <c r="AH59" s="1"/>
  <c r="V62"/>
  <c r="AH62" s="1"/>
  <c r="V76"/>
  <c r="M72"/>
  <c r="O78"/>
  <c r="V61"/>
  <c r="AH61" s="1"/>
  <c r="Q72"/>
  <c r="Q79" s="1"/>
  <c r="N72"/>
  <c r="N79" s="1"/>
  <c r="AG77"/>
  <c r="AH77" s="1"/>
  <c r="AG75"/>
  <c r="AH75" s="1"/>
  <c r="V70"/>
  <c r="AH70" s="1"/>
  <c r="AG70"/>
  <c r="V69"/>
  <c r="AH69" s="1"/>
  <c r="AG69"/>
  <c r="V64"/>
  <c r="AH64" s="1"/>
  <c r="AG64"/>
  <c r="V54"/>
  <c r="AH54" s="1"/>
  <c r="AG54"/>
  <c r="V53"/>
  <c r="AH53" s="1"/>
  <c r="AG53"/>
  <c r="V52"/>
  <c r="AH52" s="1"/>
  <c r="AG52"/>
  <c r="V51"/>
  <c r="AH51" s="1"/>
  <c r="AG51"/>
  <c r="AH20"/>
  <c r="AG60"/>
  <c r="V60"/>
  <c r="M78"/>
  <c r="O72"/>
  <c r="O79" s="1"/>
  <c r="P56" i="2"/>
  <c r="K70"/>
  <c r="K56"/>
  <c r="P60"/>
  <c r="P70" s="1"/>
  <c r="P21" i="1"/>
  <c r="P19"/>
  <c r="AG72" i="3" l="1"/>
  <c r="AH60"/>
  <c r="M79"/>
  <c r="AH42"/>
  <c r="AH43"/>
  <c r="AH44"/>
  <c r="AH45"/>
  <c r="AH46"/>
  <c r="AH47"/>
  <c r="AH48"/>
  <c r="AH49"/>
  <c r="AH57"/>
  <c r="AH58"/>
  <c r="AG76"/>
  <c r="AH76" s="1"/>
  <c r="V78"/>
  <c r="AG74"/>
  <c r="V72"/>
  <c r="V79" s="1"/>
  <c r="K71" i="2"/>
  <c r="P71"/>
  <c r="AH72" i="3" l="1"/>
  <c r="AG78"/>
  <c r="AG79" s="1"/>
  <c r="AH74"/>
  <c r="AH78" s="1"/>
  <c r="AH79" s="1"/>
</calcChain>
</file>

<file path=xl/comments1.xml><?xml version="1.0" encoding="utf-8"?>
<comments xmlns="http://schemas.openxmlformats.org/spreadsheetml/2006/main">
  <authors>
    <author>Автор</author>
  </authors>
  <commentList>
    <comment ref="H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 лет
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57692 было
</t>
        </r>
      </text>
    </comment>
    <comment ref="D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1 мая 2016 г:
10 л  7 мес 12 дн</t>
        </r>
      </text>
    </comment>
    <comment ref="H5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29731 было
</t>
        </r>
      </text>
    </comment>
    <comment ref="H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29731 было 
с марта 30439
</t>
        </r>
      </text>
    </comment>
  </commentList>
</comments>
</file>

<file path=xl/sharedStrings.xml><?xml version="1.0" encoding="utf-8"?>
<sst xmlns="http://schemas.openxmlformats.org/spreadsheetml/2006/main" count="622" uniqueCount="269">
  <si>
    <t>Согласованно</t>
  </si>
  <si>
    <t>Руководитель ГУ "Отдел образования г. Сарани"</t>
  </si>
  <si>
    <t>_________________              Н. Жашибеков</t>
  </si>
  <si>
    <r>
      <t>"</t>
    </r>
    <r>
      <rPr>
        <b/>
        <u/>
        <sz val="12"/>
        <color rgb="FF000000"/>
        <rFont val="Times New Roman"/>
        <family val="1"/>
        <charset val="204"/>
      </rPr>
      <t>____ "____________  2021 г.</t>
    </r>
  </si>
  <si>
    <t xml:space="preserve"> Штатное расписание</t>
  </si>
  <si>
    <t xml:space="preserve">КГУ "Школа-интернат №7 " отдела образования города Сарани </t>
  </si>
  <si>
    <t>управления образования Карагандинской области</t>
  </si>
  <si>
    <t>на  " 01 " января  2021 г.</t>
  </si>
  <si>
    <t>№</t>
  </si>
  <si>
    <t>Должность</t>
  </si>
  <si>
    <t>Образование</t>
  </si>
  <si>
    <t xml:space="preserve">Стаж работы </t>
  </si>
  <si>
    <t>Кол-во штатных единиц</t>
  </si>
  <si>
    <t>Категория</t>
  </si>
  <si>
    <t>Коэффициент по системе оплате труда</t>
  </si>
  <si>
    <t>Должностной оклад</t>
  </si>
  <si>
    <t>Поправочный коэффициент</t>
  </si>
  <si>
    <t>Надбавка 10%</t>
  </si>
  <si>
    <t>Доплаты</t>
  </si>
  <si>
    <t>Фонд заработной платы</t>
  </si>
  <si>
    <t xml:space="preserve"> за вредные условия труда</t>
  </si>
  <si>
    <t>за работу в ночные время</t>
  </si>
  <si>
    <t>за работу в праздничные дни</t>
  </si>
  <si>
    <t>доплата за инклюзию 40%</t>
  </si>
  <si>
    <t xml:space="preserve">Воспитатель </t>
  </si>
  <si>
    <t>ср.сп.б/к</t>
  </si>
  <si>
    <t>3г4м</t>
  </si>
  <si>
    <t>В4-4</t>
  </si>
  <si>
    <t>Корепанова</t>
  </si>
  <si>
    <t>Методист</t>
  </si>
  <si>
    <t>Помощник воспитателя</t>
  </si>
  <si>
    <t>1г5м</t>
  </si>
  <si>
    <t>Д-1</t>
  </si>
  <si>
    <t>Подсобный рабочий</t>
  </si>
  <si>
    <t xml:space="preserve">Повар </t>
  </si>
  <si>
    <t>6р</t>
  </si>
  <si>
    <t>Итого</t>
  </si>
  <si>
    <t xml:space="preserve">Руководитель КГУ "Школа-интернат №7 " отдела образования города Сарани </t>
  </si>
  <si>
    <t>________________</t>
  </si>
  <si>
    <t>М.В.Шмелев</t>
  </si>
  <si>
    <t>Главный бухгалтер</t>
  </si>
  <si>
    <t>__________________</t>
  </si>
  <si>
    <t>Л.В.Басманова</t>
  </si>
  <si>
    <r>
      <t>"</t>
    </r>
    <r>
      <rPr>
        <b/>
        <u/>
        <sz val="12"/>
        <color rgb="FF000000"/>
        <rFont val="Times New Roman"/>
        <family val="1"/>
        <charset val="204"/>
      </rPr>
      <t xml:space="preserve"> ____ "_____________ 2021 г.</t>
    </r>
  </si>
  <si>
    <t xml:space="preserve">Директор </t>
  </si>
  <si>
    <t>высш.</t>
  </si>
  <si>
    <t>18л6м</t>
  </si>
  <si>
    <t>А1-3</t>
  </si>
  <si>
    <t>Зам.дир. по УВР</t>
  </si>
  <si>
    <t>36л4м</t>
  </si>
  <si>
    <t>А1-3-1</t>
  </si>
  <si>
    <t>Зам. дир.по ВР</t>
  </si>
  <si>
    <t>32г5м</t>
  </si>
  <si>
    <t>Зам.дир. по ВР</t>
  </si>
  <si>
    <t>18л1м</t>
  </si>
  <si>
    <t>15л2м</t>
  </si>
  <si>
    <t xml:space="preserve">Преподав. организатор НВП </t>
  </si>
  <si>
    <t>высш.1/к</t>
  </si>
  <si>
    <t>19л2м</t>
  </si>
  <si>
    <t>В2-2</t>
  </si>
  <si>
    <t>высш.2/к</t>
  </si>
  <si>
    <t>8л6м</t>
  </si>
  <si>
    <t>В2-3</t>
  </si>
  <si>
    <t xml:space="preserve">Педагог-психолог </t>
  </si>
  <si>
    <t>7л3м</t>
  </si>
  <si>
    <t>Учиитель-дефектолог</t>
  </si>
  <si>
    <t>высш.б/к</t>
  </si>
  <si>
    <t>8л10м</t>
  </si>
  <si>
    <t>В2-4</t>
  </si>
  <si>
    <t>Воспитатель</t>
  </si>
  <si>
    <t>41л3м</t>
  </si>
  <si>
    <t>В3-4</t>
  </si>
  <si>
    <t>14л1м</t>
  </si>
  <si>
    <t>В3-3</t>
  </si>
  <si>
    <t>25л5м</t>
  </si>
  <si>
    <t>34л7м</t>
  </si>
  <si>
    <t>ср.сп.2</t>
  </si>
  <si>
    <t>25л7м</t>
  </si>
  <si>
    <t>В4-3</t>
  </si>
  <si>
    <t>21л1м</t>
  </si>
  <si>
    <t>1г4м</t>
  </si>
  <si>
    <t>Воспитатель класса предшкольной подготовки</t>
  </si>
  <si>
    <t>1л4м</t>
  </si>
  <si>
    <t>Воспитатель кадетс. Группы</t>
  </si>
  <si>
    <t xml:space="preserve">Соц.педагог </t>
  </si>
  <si>
    <t>Педагог-организатор</t>
  </si>
  <si>
    <t>11л8м</t>
  </si>
  <si>
    <t xml:space="preserve"> Ст. Вожатый </t>
  </si>
  <si>
    <t>9л3м</t>
  </si>
  <si>
    <t>9л1м</t>
  </si>
  <si>
    <t xml:space="preserve">Лаборант </t>
  </si>
  <si>
    <t>12л7м</t>
  </si>
  <si>
    <t>10л6м</t>
  </si>
  <si>
    <t>7г3м</t>
  </si>
  <si>
    <t>1л10м</t>
  </si>
  <si>
    <t>ср.сп.</t>
  </si>
  <si>
    <t>24г5м</t>
  </si>
  <si>
    <t>Зам.дир.по адм.хоз.раб.</t>
  </si>
  <si>
    <t>12л 7м</t>
  </si>
  <si>
    <t>А2-3</t>
  </si>
  <si>
    <t>Гл.бухгалтер</t>
  </si>
  <si>
    <t>12л4м</t>
  </si>
  <si>
    <t>Медсестра</t>
  </si>
  <si>
    <t>высш.В</t>
  </si>
  <si>
    <t>17л5м</t>
  </si>
  <si>
    <t>В4-1</t>
  </si>
  <si>
    <t xml:space="preserve">Врач </t>
  </si>
  <si>
    <t>В2-1</t>
  </si>
  <si>
    <t xml:space="preserve">Зав.библиотекой </t>
  </si>
  <si>
    <t>42г5м</t>
  </si>
  <si>
    <t>С1</t>
  </si>
  <si>
    <t xml:space="preserve">Экономист </t>
  </si>
  <si>
    <t>11л5м</t>
  </si>
  <si>
    <t>С2</t>
  </si>
  <si>
    <t xml:space="preserve">Бухгалтер </t>
  </si>
  <si>
    <t>12л5м</t>
  </si>
  <si>
    <t xml:space="preserve">Переводчик </t>
  </si>
  <si>
    <t>39л5м</t>
  </si>
  <si>
    <t>Пом. Воспитателя</t>
  </si>
  <si>
    <t>2л1м</t>
  </si>
  <si>
    <t>D1</t>
  </si>
  <si>
    <t>13л1м</t>
  </si>
  <si>
    <t>13л5м</t>
  </si>
  <si>
    <t>5г0м</t>
  </si>
  <si>
    <t>Делопроизводитель</t>
  </si>
  <si>
    <t xml:space="preserve">Секретарь </t>
  </si>
  <si>
    <t>Млад.мед.персон.</t>
  </si>
  <si>
    <t>1л2м</t>
  </si>
  <si>
    <t>Дворник</t>
  </si>
  <si>
    <t>Швея по ремонту одежд.</t>
  </si>
  <si>
    <t>Вахтер</t>
  </si>
  <si>
    <t>Сторож</t>
  </si>
  <si>
    <t>Кастелянша</t>
  </si>
  <si>
    <t>2р</t>
  </si>
  <si>
    <t>Уборщик сл.помещений</t>
  </si>
  <si>
    <t>Уборщик сл.пом.</t>
  </si>
  <si>
    <t>Кух. рабочий</t>
  </si>
  <si>
    <t>Кладовщик</t>
  </si>
  <si>
    <t>Опер.стир.машин</t>
  </si>
  <si>
    <t>Грузчик</t>
  </si>
  <si>
    <t>Рабочий по ремонту</t>
  </si>
  <si>
    <t>5р</t>
  </si>
  <si>
    <t>Всего</t>
  </si>
  <si>
    <t>1-4 кл</t>
  </si>
  <si>
    <t>5-9 кл</t>
  </si>
  <si>
    <t>10-11кл</t>
  </si>
  <si>
    <t>дом.обуч.</t>
  </si>
  <si>
    <t>число  классов -всего</t>
  </si>
  <si>
    <t>Согласовано</t>
  </si>
  <si>
    <t>число классов школы</t>
  </si>
  <si>
    <t>Руководитель  ГУ "Отдел образования города Сарани"</t>
  </si>
  <si>
    <t>число классов предшколы</t>
  </si>
  <si>
    <t>число учащихся  -всего</t>
  </si>
  <si>
    <t>число учащихся школы</t>
  </si>
  <si>
    <t>число учащихся  предшколы</t>
  </si>
  <si>
    <t>общее число часов -всего</t>
  </si>
  <si>
    <t>число часов  школы</t>
  </si>
  <si>
    <t xml:space="preserve">         ТАРИФИКАЦИОННЫЙ СПИСОК </t>
  </si>
  <si>
    <t>число часов предшколы</t>
  </si>
  <si>
    <t>число часов дмц</t>
  </si>
  <si>
    <t>кол-во пед.ставок -всего:</t>
  </si>
  <si>
    <t>кол-во пед.ставок  школы</t>
  </si>
  <si>
    <t>на 01 января   2021 г.</t>
  </si>
  <si>
    <t>кол-во пед.ставок предшколы</t>
  </si>
  <si>
    <t xml:space="preserve">адрес школы г.Сарань, м-он 2, дом 15б   </t>
  </si>
  <si>
    <t>кол-во пед.ставок дмц</t>
  </si>
  <si>
    <t>предмет</t>
  </si>
  <si>
    <t>образование</t>
  </si>
  <si>
    <t>категория</t>
  </si>
  <si>
    <t>стаж</t>
  </si>
  <si>
    <t>должностной оклад</t>
  </si>
  <si>
    <t>увеличение з/пл на 25% от ДО</t>
  </si>
  <si>
    <t>часы в неделю</t>
  </si>
  <si>
    <t>зар плата в мес</t>
  </si>
  <si>
    <t>проверка тетрадей</t>
  </si>
  <si>
    <t>итого зар.плата</t>
  </si>
  <si>
    <t>дополнительная  оплата</t>
  </si>
  <si>
    <t>за работу с детьми с огран.возмож (инклюзив)</t>
  </si>
  <si>
    <t>за реализацию программ на англ.языке</t>
  </si>
  <si>
    <t>оплата по обновленной системе в размере 30% от ДО</t>
  </si>
  <si>
    <t xml:space="preserve">доплата за степень магистра 10 МРП </t>
  </si>
  <si>
    <t>доплата за квалификацию пед.мастерства</t>
  </si>
  <si>
    <t>10% за особые условия труда от ДО</t>
  </si>
  <si>
    <t>всего</t>
  </si>
  <si>
    <t>кл. рук</t>
  </si>
  <si>
    <t xml:space="preserve"> каб</t>
  </si>
  <si>
    <t>часы</t>
  </si>
  <si>
    <t>сумма</t>
  </si>
  <si>
    <t>%</t>
  </si>
  <si>
    <t>пед</t>
  </si>
  <si>
    <t>В</t>
  </si>
  <si>
    <t>предшкола</t>
  </si>
  <si>
    <t>I-IV класс</t>
  </si>
  <si>
    <t>V-IX класс</t>
  </si>
  <si>
    <t>X-XI класс</t>
  </si>
  <si>
    <t>домашнее обуч</t>
  </si>
  <si>
    <t>рус-яз.литр</t>
  </si>
  <si>
    <t>выс</t>
  </si>
  <si>
    <t>в</t>
  </si>
  <si>
    <t>В2</t>
  </si>
  <si>
    <t>37л8м</t>
  </si>
  <si>
    <t xml:space="preserve">нач. класс </t>
  </si>
  <si>
    <t>36л5м</t>
  </si>
  <si>
    <t>рус-яз.</t>
  </si>
  <si>
    <t>геогр.биол</t>
  </si>
  <si>
    <t>биология</t>
  </si>
  <si>
    <t>34г8м</t>
  </si>
  <si>
    <t>худ.труд</t>
  </si>
  <si>
    <t>33г10м</t>
  </si>
  <si>
    <t>32г8м</t>
  </si>
  <si>
    <t>химия</t>
  </si>
  <si>
    <t>32г6м</t>
  </si>
  <si>
    <t>матем</t>
  </si>
  <si>
    <t>27л8м</t>
  </si>
  <si>
    <t>физ-ра СМГ</t>
  </si>
  <si>
    <t>самопозн</t>
  </si>
  <si>
    <t>23г8м</t>
  </si>
  <si>
    <t>история</t>
  </si>
  <si>
    <t>анг.яз.</t>
  </si>
  <si>
    <t>16л0м</t>
  </si>
  <si>
    <t xml:space="preserve">каз-яз.литр </t>
  </si>
  <si>
    <t>14л7м</t>
  </si>
  <si>
    <t>музыка</t>
  </si>
  <si>
    <t>15л5г</t>
  </si>
  <si>
    <t>факул. ИВТ</t>
  </si>
  <si>
    <t>физ-ра, факул.</t>
  </si>
  <si>
    <t>матем.</t>
  </si>
  <si>
    <t>18л8м</t>
  </si>
  <si>
    <t>17л10м</t>
  </si>
  <si>
    <t>анг.яз</t>
  </si>
  <si>
    <t>каз-яз</t>
  </si>
  <si>
    <t>12л8м</t>
  </si>
  <si>
    <t>самопз.</t>
  </si>
  <si>
    <t>каз.яз.</t>
  </si>
  <si>
    <t>б/к</t>
  </si>
  <si>
    <t>худ.труд факул.</t>
  </si>
  <si>
    <t>инкл.пед.психолог</t>
  </si>
  <si>
    <t>39л8м</t>
  </si>
  <si>
    <t>самопознание</t>
  </si>
  <si>
    <t>физ-ра</t>
  </si>
  <si>
    <t>В4</t>
  </si>
  <si>
    <t>4г8м</t>
  </si>
  <si>
    <t>физика</t>
  </si>
  <si>
    <t>19л4м</t>
  </si>
  <si>
    <t>Абаеведение</t>
  </si>
  <si>
    <t>15л5м</t>
  </si>
  <si>
    <t xml:space="preserve">нач.класс </t>
  </si>
  <si>
    <t>14л0м</t>
  </si>
  <si>
    <t>13л2м</t>
  </si>
  <si>
    <t>география</t>
  </si>
  <si>
    <t>математика</t>
  </si>
  <si>
    <t>10л7м</t>
  </si>
  <si>
    <t>ИВТ</t>
  </si>
  <si>
    <t>история, геогр.</t>
  </si>
  <si>
    <t>рус-яз</t>
  </si>
  <si>
    <t>2г4м</t>
  </si>
  <si>
    <t>2г3м</t>
  </si>
  <si>
    <t>ср/с</t>
  </si>
  <si>
    <t>34г7м</t>
  </si>
  <si>
    <t>факульт хореогр</t>
  </si>
  <si>
    <t>музыкв</t>
  </si>
  <si>
    <t>анг.яз. ДМЦ</t>
  </si>
  <si>
    <t>самопоз.ДМЦ</t>
  </si>
  <si>
    <t>каз-яз ДМЦ</t>
  </si>
  <si>
    <t>1г3м</t>
  </si>
  <si>
    <t>музыка ДМЦ</t>
  </si>
  <si>
    <t>2г10м</t>
  </si>
  <si>
    <t>______________</t>
  </si>
  <si>
    <t>_____________</t>
  </si>
</sst>
</file>

<file path=xl/styles.xml><?xml version="1.0" encoding="utf-8"?>
<styleSheet xmlns="http://schemas.openxmlformats.org/spreadsheetml/2006/main">
  <numFmts count="3">
    <numFmt numFmtId="164" formatCode="#,##0&quot;р.&quot;;[Red]\-#,##0&quot;р.&quot;"/>
    <numFmt numFmtId="165" formatCode="0.0"/>
    <numFmt numFmtId="166" formatCode="#,##0.00\ _₽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7"/>
      <name val="Times New Roman"/>
      <family val="1"/>
    </font>
    <font>
      <sz val="7"/>
      <name val="Arial Cyr"/>
      <family val="2"/>
      <charset val="204"/>
    </font>
    <font>
      <sz val="8"/>
      <name val="Times New Roman"/>
      <family val="1"/>
      <charset val="204"/>
    </font>
    <font>
      <sz val="7"/>
      <name val="Arial Cyr"/>
      <charset val="204"/>
    </font>
    <font>
      <b/>
      <sz val="7"/>
      <name val="Times New Roman"/>
      <family val="1"/>
    </font>
    <font>
      <b/>
      <sz val="7"/>
      <name val="Arial Cyr"/>
      <family val="2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2"/>
      <name val="Times New Roman"/>
      <family val="1"/>
    </font>
    <font>
      <b/>
      <sz val="8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name val="Arial Cyr"/>
      <charset val="204"/>
    </font>
    <font>
      <b/>
      <sz val="7"/>
      <name val="Arial Cyr"/>
      <charset val="204"/>
    </font>
    <font>
      <b/>
      <sz val="8"/>
      <color theme="1"/>
      <name val="Times New Roman"/>
      <family val="1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0" fillId="0" borderId="1" xfId="0" applyBorder="1"/>
    <xf numFmtId="1" fontId="11" fillId="2" borderId="1" xfId="0" applyNumberFormat="1" applyFont="1" applyFill="1" applyBorder="1" applyAlignment="1">
      <alignment horizontal="center"/>
    </xf>
    <xf numFmtId="1" fontId="0" fillId="2" borderId="1" xfId="0" applyNumberFormat="1" applyFill="1" applyBorder="1"/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/>
    <xf numFmtId="0" fontId="13" fillId="2" borderId="1" xfId="0" applyFont="1" applyFill="1" applyBorder="1" applyAlignment="1">
      <alignment horizontal="left" wrapText="1"/>
    </xf>
    <xf numFmtId="0" fontId="0" fillId="2" borderId="0" xfId="0" applyFill="1"/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2" fontId="16" fillId="2" borderId="0" xfId="0" applyNumberFormat="1" applyFont="1" applyFill="1" applyAlignment="1">
      <alignment horizontal="right"/>
    </xf>
    <xf numFmtId="165" fontId="16" fillId="2" borderId="0" xfId="0" applyNumberFormat="1" applyFont="1" applyFill="1" applyAlignment="1">
      <alignment horizontal="center"/>
    </xf>
    <xf numFmtId="2" fontId="16" fillId="2" borderId="0" xfId="0" applyNumberFormat="1" applyFont="1" applyFill="1"/>
    <xf numFmtId="1" fontId="17" fillId="2" borderId="0" xfId="0" applyNumberFormat="1" applyFont="1" applyFill="1" applyBorder="1"/>
    <xf numFmtId="0" fontId="16" fillId="2" borderId="0" xfId="0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166" fontId="10" fillId="2" borderId="0" xfId="0" applyNumberFormat="1" applyFont="1" applyFill="1" applyBorder="1" applyAlignment="1">
      <alignment horizontal="right"/>
    </xf>
    <xf numFmtId="0" fontId="17" fillId="2" borderId="0" xfId="0" applyFont="1" applyFill="1" applyBorder="1"/>
    <xf numFmtId="0" fontId="18" fillId="2" borderId="0" xfId="0" applyNumberFormat="1" applyFont="1" applyFill="1" applyBorder="1" applyAlignment="1">
      <alignment horizontal="right"/>
    </xf>
    <xf numFmtId="0" fontId="18" fillId="2" borderId="0" xfId="0" applyNumberFormat="1" applyFont="1" applyFill="1" applyBorder="1"/>
    <xf numFmtId="0" fontId="10" fillId="2" borderId="0" xfId="0" applyNumberFormat="1" applyFont="1" applyFill="1" applyBorder="1"/>
    <xf numFmtId="0" fontId="16" fillId="2" borderId="0" xfId="0" applyNumberFormat="1" applyFont="1" applyFill="1" applyBorder="1"/>
    <xf numFmtId="0" fontId="19" fillId="2" borderId="0" xfId="0" applyFont="1" applyFill="1" applyBorder="1"/>
    <xf numFmtId="0" fontId="19" fillId="2" borderId="0" xfId="0" applyFont="1" applyFill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/>
    </xf>
    <xf numFmtId="166" fontId="13" fillId="2" borderId="0" xfId="0" applyNumberFormat="1" applyFont="1" applyFill="1" applyBorder="1" applyAlignment="1">
      <alignment horizontal="right"/>
    </xf>
    <xf numFmtId="166" fontId="20" fillId="2" borderId="0" xfId="0" applyNumberFormat="1" applyFont="1" applyFill="1" applyBorder="1"/>
    <xf numFmtId="0" fontId="21" fillId="2" borderId="0" xfId="0" applyFont="1" applyFill="1" applyBorder="1"/>
    <xf numFmtId="0" fontId="20" fillId="2" borderId="0" xfId="0" applyFont="1" applyFill="1" applyBorder="1" applyAlignment="1">
      <alignment horizontal="right"/>
    </xf>
    <xf numFmtId="0" fontId="13" fillId="2" borderId="0" xfId="0" applyNumberFormat="1" applyFont="1" applyFill="1" applyBorder="1" applyAlignment="1">
      <alignment horizontal="right"/>
    </xf>
    <xf numFmtId="0" fontId="13" fillId="2" borderId="0" xfId="0" applyNumberFormat="1" applyFont="1" applyFill="1" applyBorder="1"/>
    <xf numFmtId="0" fontId="22" fillId="2" borderId="0" xfId="0" applyFont="1" applyFill="1" applyBorder="1"/>
    <xf numFmtId="0" fontId="20" fillId="2" borderId="0" xfId="0" applyNumberFormat="1" applyFont="1" applyFill="1" applyBorder="1"/>
    <xf numFmtId="0" fontId="23" fillId="2" borderId="0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right"/>
    </xf>
    <xf numFmtId="0" fontId="22" fillId="2" borderId="0" xfId="0" applyFont="1" applyFill="1" applyAlignment="1">
      <alignment horizontal="right"/>
    </xf>
    <xf numFmtId="166" fontId="16" fillId="2" borderId="0" xfId="0" applyNumberFormat="1" applyFont="1" applyFill="1" applyBorder="1"/>
    <xf numFmtId="0" fontId="24" fillId="2" borderId="0" xfId="0" applyFont="1" applyFill="1" applyBorder="1"/>
    <xf numFmtId="0" fontId="22" fillId="2" borderId="0" xfId="0" applyFont="1" applyFill="1" applyBorder="1" applyAlignment="1">
      <alignment horizontal="center" wrapText="1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9" fontId="17" fillId="2" borderId="0" xfId="1" applyFont="1" applyFill="1" applyBorder="1"/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2" fontId="13" fillId="2" borderId="0" xfId="0" applyNumberFormat="1" applyFont="1" applyFill="1" applyBorder="1" applyAlignment="1">
      <alignment horizontal="right"/>
    </xf>
    <xf numFmtId="2" fontId="26" fillId="2" borderId="0" xfId="0" applyNumberFormat="1" applyFont="1" applyFill="1" applyBorder="1" applyAlignment="1">
      <alignment horizontal="right"/>
    </xf>
    <xf numFmtId="2" fontId="10" fillId="2" borderId="0" xfId="0" applyNumberFormat="1" applyFont="1" applyFill="1" applyBorder="1" applyAlignment="1">
      <alignment horizontal="right"/>
    </xf>
    <xf numFmtId="2" fontId="18" fillId="2" borderId="0" xfId="0" applyNumberFormat="1" applyFont="1" applyFill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166" fontId="16" fillId="2" borderId="0" xfId="0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center"/>
    </xf>
    <xf numFmtId="2" fontId="16" fillId="2" borderId="0" xfId="0" applyNumberFormat="1" applyFont="1" applyFill="1" applyBorder="1" applyAlignment="1">
      <alignment horizontal="right"/>
    </xf>
    <xf numFmtId="165" fontId="16" fillId="2" borderId="0" xfId="0" applyNumberFormat="1" applyFont="1" applyFill="1" applyBorder="1" applyAlignment="1">
      <alignment horizontal="center"/>
    </xf>
    <xf numFmtId="2" fontId="16" fillId="2" borderId="0" xfId="0" applyNumberFormat="1" applyFont="1" applyFill="1" applyBorder="1"/>
    <xf numFmtId="1" fontId="24" fillId="2" borderId="0" xfId="0" applyNumberFormat="1" applyFont="1" applyFill="1" applyBorder="1"/>
    <xf numFmtId="49" fontId="24" fillId="2" borderId="0" xfId="0" applyNumberFormat="1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 vertical="center" textRotation="90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textRotation="90" wrapText="1"/>
    </xf>
    <xf numFmtId="0" fontId="29" fillId="2" borderId="8" xfId="0" applyFont="1" applyFill="1" applyBorder="1" applyAlignment="1">
      <alignment horizontal="center" vertical="center" wrapText="1"/>
    </xf>
    <xf numFmtId="2" fontId="29" fillId="2" borderId="6" xfId="0" applyNumberFormat="1" applyFont="1" applyFill="1" applyBorder="1" applyAlignment="1">
      <alignment horizontal="center" vertical="center" wrapText="1"/>
    </xf>
    <xf numFmtId="2" fontId="29" fillId="2" borderId="8" xfId="0" applyNumberFormat="1" applyFont="1" applyFill="1" applyBorder="1" applyAlignment="1">
      <alignment horizontal="center" vertical="center" wrapText="1"/>
    </xf>
    <xf numFmtId="2" fontId="29" fillId="2" borderId="7" xfId="0" applyNumberFormat="1" applyFont="1" applyFill="1" applyBorder="1" applyAlignment="1">
      <alignment horizontal="center" vertical="center" wrapText="1"/>
    </xf>
    <xf numFmtId="2" fontId="29" fillId="2" borderId="1" xfId="0" applyNumberFormat="1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 textRotation="90" wrapText="1"/>
    </xf>
    <xf numFmtId="2" fontId="29" fillId="2" borderId="1" xfId="0" applyNumberFormat="1" applyFont="1" applyFill="1" applyBorder="1" applyAlignment="1">
      <alignment horizontal="center" textRotation="90" wrapText="1"/>
    </xf>
    <xf numFmtId="0" fontId="29" fillId="2" borderId="1" xfId="0" applyFont="1" applyFill="1" applyBorder="1" applyAlignment="1">
      <alignment horizontal="center" textRotation="90" wrapText="1"/>
    </xf>
    <xf numFmtId="0" fontId="29" fillId="2" borderId="1" xfId="0" applyFont="1" applyFill="1" applyBorder="1" applyAlignment="1">
      <alignment horizontal="center" textRotation="90" wrapText="1"/>
    </xf>
    <xf numFmtId="0" fontId="30" fillId="2" borderId="1" xfId="0" applyFont="1" applyFill="1" applyBorder="1" applyAlignment="1">
      <alignment horizontal="center" textRotation="90" wrapText="1"/>
    </xf>
    <xf numFmtId="0" fontId="29" fillId="2" borderId="1" xfId="0" applyFont="1" applyFill="1" applyBorder="1" applyAlignment="1">
      <alignment textRotation="90" wrapText="1"/>
    </xf>
    <xf numFmtId="0" fontId="26" fillId="2" borderId="1" xfId="0" applyFont="1" applyFill="1" applyBorder="1" applyAlignment="1">
      <alignment horizontal="center" vertical="center" textRotation="90" wrapText="1"/>
    </xf>
    <xf numFmtId="0" fontId="17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29" fillId="2" borderId="9" xfId="0" applyFont="1" applyFill="1" applyBorder="1" applyAlignment="1">
      <alignment horizontal="center" vertical="center" textRotation="90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2" fontId="29" fillId="2" borderId="10" xfId="0" applyNumberFormat="1" applyFont="1" applyFill="1" applyBorder="1" applyAlignment="1">
      <alignment horizontal="center" vertical="center" wrapText="1"/>
    </xf>
    <xf numFmtId="2" fontId="29" fillId="2" borderId="12" xfId="0" applyNumberFormat="1" applyFont="1" applyFill="1" applyBorder="1" applyAlignment="1">
      <alignment horizontal="center" vertical="center" wrapText="1"/>
    </xf>
    <xf numFmtId="2" fontId="29" fillId="2" borderId="11" xfId="0" applyNumberFormat="1" applyFont="1" applyFill="1" applyBorder="1" applyAlignment="1">
      <alignment horizontal="center" vertical="center" wrapText="1"/>
    </xf>
    <xf numFmtId="166" fontId="29" fillId="2" borderId="1" xfId="0" applyNumberFormat="1" applyFont="1" applyFill="1" applyBorder="1" applyAlignment="1">
      <alignment horizontal="center" textRotation="90" wrapText="1" shrinkToFit="1"/>
    </xf>
    <xf numFmtId="0" fontId="26" fillId="2" borderId="1" xfId="0" applyFont="1" applyFill="1" applyBorder="1" applyAlignment="1">
      <alignment horizontal="center" textRotation="90" wrapText="1"/>
    </xf>
    <xf numFmtId="49" fontId="29" fillId="2" borderId="1" xfId="0" applyNumberFormat="1" applyFont="1" applyFill="1" applyBorder="1" applyAlignment="1">
      <alignment horizontal="center" textRotation="90" wrapText="1"/>
    </xf>
    <xf numFmtId="0" fontId="21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29" fillId="2" borderId="13" xfId="0" applyFont="1" applyFill="1" applyBorder="1" applyAlignment="1">
      <alignment horizontal="center" vertical="center" textRotation="90" wrapText="1"/>
    </xf>
    <xf numFmtId="0" fontId="29" fillId="2" borderId="13" xfId="0" applyFont="1" applyFill="1" applyBorder="1" applyAlignment="1">
      <alignment horizontal="center" textRotation="90" wrapText="1"/>
    </xf>
    <xf numFmtId="0" fontId="29" fillId="2" borderId="1" xfId="0" applyFont="1" applyFill="1" applyBorder="1" applyAlignment="1">
      <alignment horizontal="right" textRotation="90" wrapText="1"/>
    </xf>
    <xf numFmtId="0" fontId="32" fillId="2" borderId="1" xfId="0" applyFont="1" applyFill="1" applyBorder="1" applyAlignment="1">
      <alignment horizontal="center" textRotation="90" wrapText="1"/>
    </xf>
    <xf numFmtId="165" fontId="26" fillId="2" borderId="1" xfId="0" applyNumberFormat="1" applyFont="1" applyFill="1" applyBorder="1" applyAlignment="1">
      <alignment horizontal="center" textRotation="90" wrapText="1"/>
    </xf>
    <xf numFmtId="0" fontId="17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left" vertical="top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right" vertical="top"/>
    </xf>
    <xf numFmtId="1" fontId="26" fillId="2" borderId="1" xfId="0" applyNumberFormat="1" applyFont="1" applyFill="1" applyBorder="1" applyAlignment="1">
      <alignment horizontal="right" vertical="top"/>
    </xf>
    <xf numFmtId="1" fontId="26" fillId="2" borderId="1" xfId="0" applyNumberFormat="1" applyFont="1" applyFill="1" applyBorder="1" applyAlignment="1">
      <alignment horizontal="left" vertical="top"/>
    </xf>
    <xf numFmtId="1" fontId="29" fillId="2" borderId="1" xfId="0" applyNumberFormat="1" applyFont="1" applyFill="1" applyBorder="1" applyAlignment="1">
      <alignment horizontal="right"/>
    </xf>
    <xf numFmtId="9" fontId="22" fillId="2" borderId="1" xfId="0" applyNumberFormat="1" applyFont="1" applyFill="1" applyBorder="1" applyAlignment="1">
      <alignment horizontal="center"/>
    </xf>
    <xf numFmtId="1" fontId="29" fillId="2" borderId="1" xfId="0" applyNumberFormat="1" applyFont="1" applyFill="1" applyBorder="1"/>
    <xf numFmtId="1" fontId="33" fillId="2" borderId="1" xfId="0" applyNumberFormat="1" applyFont="1" applyFill="1" applyBorder="1"/>
    <xf numFmtId="0" fontId="29" fillId="2" borderId="1" xfId="0" applyFont="1" applyFill="1" applyBorder="1" applyAlignment="1">
      <alignment horizontal="right"/>
    </xf>
    <xf numFmtId="0" fontId="33" fillId="2" borderId="1" xfId="0" applyFont="1" applyFill="1" applyBorder="1"/>
    <xf numFmtId="0" fontId="29" fillId="2" borderId="1" xfId="0" applyFont="1" applyFill="1" applyBorder="1"/>
    <xf numFmtId="9" fontId="20" fillId="2" borderId="1" xfId="0" applyNumberFormat="1" applyFont="1" applyFill="1" applyBorder="1" applyAlignment="1">
      <alignment horizontal="center"/>
    </xf>
    <xf numFmtId="165" fontId="29" fillId="2" borderId="1" xfId="0" applyNumberFormat="1" applyFont="1" applyFill="1" applyBorder="1"/>
    <xf numFmtId="14" fontId="26" fillId="2" borderId="1" xfId="0" applyNumberFormat="1" applyFont="1" applyFill="1" applyBorder="1" applyAlignment="1">
      <alignment horizontal="left" vertical="top"/>
    </xf>
    <xf numFmtId="165" fontId="29" fillId="2" borderId="1" xfId="0" applyNumberFormat="1" applyFont="1" applyFill="1" applyBorder="1" applyAlignment="1">
      <alignment horizontal="right"/>
    </xf>
    <xf numFmtId="2" fontId="29" fillId="2" borderId="1" xfId="0" applyNumberFormat="1" applyFont="1" applyFill="1" applyBorder="1" applyAlignment="1">
      <alignment horizontal="right"/>
    </xf>
    <xf numFmtId="165" fontId="26" fillId="2" borderId="1" xfId="0" applyNumberFormat="1" applyFont="1" applyFill="1" applyBorder="1" applyAlignment="1">
      <alignment horizontal="right" vertical="top"/>
    </xf>
    <xf numFmtId="165" fontId="26" fillId="2" borderId="2" xfId="0" applyNumberFormat="1" applyFont="1" applyFill="1" applyBorder="1" applyAlignment="1">
      <alignment horizontal="right" vertical="top"/>
    </xf>
    <xf numFmtId="1" fontId="26" fillId="2" borderId="2" xfId="0" applyNumberFormat="1" applyFont="1" applyFill="1" applyBorder="1" applyAlignment="1">
      <alignment horizontal="left" vertical="top"/>
    </xf>
    <xf numFmtId="165" fontId="29" fillId="2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right"/>
    </xf>
    <xf numFmtId="2" fontId="29" fillId="2" borderId="1" xfId="0" applyNumberFormat="1" applyFont="1" applyFill="1" applyBorder="1"/>
    <xf numFmtId="165" fontId="26" fillId="2" borderId="1" xfId="0" applyNumberFormat="1" applyFont="1" applyFill="1" applyBorder="1" applyAlignment="1">
      <alignment horizontal="left" vertical="top"/>
    </xf>
    <xf numFmtId="1" fontId="26" fillId="2" borderId="2" xfId="0" applyNumberFormat="1" applyFont="1" applyFill="1" applyBorder="1" applyAlignment="1">
      <alignment horizontal="right" vertical="top"/>
    </xf>
    <xf numFmtId="49" fontId="26" fillId="2" borderId="1" xfId="0" applyNumberFormat="1" applyFont="1" applyFill="1" applyBorder="1" applyAlignment="1">
      <alignment horizontal="left" vertical="top"/>
    </xf>
    <xf numFmtId="9" fontId="29" fillId="2" borderId="1" xfId="0" applyNumberFormat="1" applyFont="1" applyFill="1" applyBorder="1" applyAlignment="1">
      <alignment horizontal="center"/>
    </xf>
    <xf numFmtId="0" fontId="34" fillId="2" borderId="0" xfId="0" applyFont="1" applyFill="1" applyBorder="1"/>
    <xf numFmtId="2" fontId="26" fillId="2" borderId="1" xfId="0" applyNumberFormat="1" applyFont="1" applyFill="1" applyBorder="1" applyAlignment="1">
      <alignment horizontal="left" vertical="top" wrapText="1"/>
    </xf>
    <xf numFmtId="165" fontId="26" fillId="2" borderId="2" xfId="0" applyNumberFormat="1" applyFont="1" applyFill="1" applyBorder="1" applyAlignment="1">
      <alignment horizontal="left" vertical="top"/>
    </xf>
    <xf numFmtId="165" fontId="35" fillId="2" borderId="0" xfId="0" applyNumberFormat="1" applyFont="1" applyFill="1" applyAlignment="1">
      <alignment horizontal="right"/>
    </xf>
    <xf numFmtId="49" fontId="20" fillId="2" borderId="1" xfId="0" applyNumberFormat="1" applyFont="1" applyFill="1" applyBorder="1" applyAlignment="1">
      <alignment horizontal="center"/>
    </xf>
    <xf numFmtId="0" fontId="31" fillId="2" borderId="1" xfId="0" applyFont="1" applyFill="1" applyBorder="1"/>
    <xf numFmtId="0" fontId="26" fillId="2" borderId="1" xfId="0" applyFont="1" applyFill="1" applyBorder="1"/>
    <xf numFmtId="0" fontId="26" fillId="2" borderId="1" xfId="0" applyFont="1" applyFill="1" applyBorder="1" applyAlignment="1">
      <alignment horizontal="center"/>
    </xf>
    <xf numFmtId="1" fontId="26" fillId="2" borderId="1" xfId="0" applyNumberFormat="1" applyFont="1" applyFill="1" applyBorder="1" applyAlignment="1">
      <alignment horizontal="right"/>
    </xf>
    <xf numFmtId="0" fontId="29" fillId="2" borderId="2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9" fontId="26" fillId="2" borderId="1" xfId="0" applyNumberFormat="1" applyFont="1" applyFill="1" applyBorder="1" applyAlignment="1">
      <alignment horizontal="center"/>
    </xf>
    <xf numFmtId="165" fontId="26" fillId="2" borderId="1" xfId="0" applyNumberFormat="1" applyFont="1" applyFill="1" applyBorder="1" applyAlignment="1">
      <alignment horizontal="right"/>
    </xf>
    <xf numFmtId="0" fontId="12" fillId="2" borderId="0" xfId="0" applyFont="1" applyFill="1"/>
    <xf numFmtId="1" fontId="17" fillId="2" borderId="0" xfId="0" applyNumberFormat="1" applyFont="1" applyFill="1"/>
    <xf numFmtId="166" fontId="16" fillId="2" borderId="0" xfId="0" applyNumberFormat="1" applyFont="1" applyFill="1"/>
    <xf numFmtId="0" fontId="13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center"/>
    </xf>
    <xf numFmtId="0" fontId="17" fillId="2" borderId="0" xfId="0" applyFont="1" applyFill="1"/>
    <xf numFmtId="0" fontId="23" fillId="2" borderId="0" xfId="0" applyFont="1" applyFill="1" applyBorder="1" applyAlignment="1"/>
    <xf numFmtId="0" fontId="23" fillId="2" borderId="0" xfId="0" applyFont="1" applyFill="1" applyBorder="1" applyAlignment="1">
      <alignment wrapText="1"/>
    </xf>
    <xf numFmtId="0" fontId="23" fillId="2" borderId="0" xfId="0" applyFont="1" applyFill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sqref="A1:XFD1048576"/>
    </sheetView>
  </sheetViews>
  <sheetFormatPr defaultRowHeight="15"/>
  <cols>
    <col min="1" max="1" width="3.7109375" customWidth="1"/>
    <col min="2" max="2" width="24.7109375" customWidth="1"/>
    <col min="4" max="5" width="7.28515625" customWidth="1"/>
    <col min="6" max="6" width="7.7109375" customWidth="1"/>
    <col min="7" max="7" width="6.7109375" customWidth="1"/>
    <col min="9" max="9" width="7" customWidth="1"/>
    <col min="12" max="12" width="6.42578125" customWidth="1"/>
    <col min="13" max="13" width="8.5703125" customWidth="1"/>
    <col min="14" max="15" width="6.42578125" customWidth="1"/>
    <col min="16" max="16" width="10.28515625" customWidth="1"/>
  </cols>
  <sheetData>
    <row r="1" spans="1:17" ht="15.75">
      <c r="K1" s="1" t="s">
        <v>0</v>
      </c>
      <c r="L1" s="1"/>
      <c r="M1" s="1"/>
      <c r="N1" s="1"/>
      <c r="O1" s="2"/>
    </row>
    <row r="2" spans="1:17" ht="15.75">
      <c r="J2" s="1" t="s">
        <v>1</v>
      </c>
      <c r="K2" s="1"/>
      <c r="L2" s="1"/>
      <c r="M2" s="1"/>
      <c r="N2" s="1"/>
      <c r="O2" s="1"/>
      <c r="P2" s="1"/>
    </row>
    <row r="3" spans="1:17" ht="15.75">
      <c r="J3" s="1" t="s">
        <v>2</v>
      </c>
      <c r="K3" s="1"/>
      <c r="L3" s="1"/>
      <c r="M3" s="1"/>
      <c r="N3" s="1"/>
      <c r="O3" s="1"/>
      <c r="P3" s="1"/>
    </row>
    <row r="4" spans="1:17" ht="15.75">
      <c r="I4" s="3"/>
      <c r="J4" s="1" t="s">
        <v>3</v>
      </c>
      <c r="K4" s="1"/>
      <c r="L4" s="1"/>
      <c r="M4" s="1"/>
      <c r="N4" s="1"/>
      <c r="O4" s="1"/>
      <c r="P4" s="1"/>
    </row>
    <row r="5" spans="1:17">
      <c r="J5" s="4"/>
    </row>
    <row r="6" spans="1:17">
      <c r="J6" s="4"/>
    </row>
    <row r="7" spans="1:17" ht="15.75">
      <c r="A7" s="5"/>
      <c r="D7" s="6" t="s">
        <v>4</v>
      </c>
      <c r="E7" s="6"/>
      <c r="F7" s="6"/>
      <c r="G7" s="6"/>
      <c r="H7" s="6"/>
      <c r="I7" s="6"/>
      <c r="J7" s="6"/>
      <c r="K7" s="6"/>
    </row>
    <row r="8" spans="1:17" ht="15.75">
      <c r="A8" s="5"/>
      <c r="D8" s="7" t="s">
        <v>5</v>
      </c>
      <c r="E8" s="7"/>
      <c r="F8" s="7"/>
      <c r="G8" s="7"/>
      <c r="H8" s="7"/>
      <c r="I8" s="7"/>
      <c r="J8" s="7"/>
      <c r="K8" s="7"/>
    </row>
    <row r="9" spans="1:17" ht="15.75">
      <c r="A9" s="5"/>
      <c r="D9" s="6" t="s">
        <v>6</v>
      </c>
      <c r="E9" s="6"/>
      <c r="F9" s="6"/>
      <c r="G9" s="6"/>
      <c r="H9" s="6"/>
      <c r="I9" s="6"/>
      <c r="J9" s="6"/>
      <c r="K9" s="6"/>
      <c r="L9" s="6"/>
    </row>
    <row r="10" spans="1:17" ht="15.75">
      <c r="A10" s="5"/>
      <c r="D10" s="6" t="s">
        <v>7</v>
      </c>
      <c r="E10" s="6"/>
      <c r="F10" s="6"/>
      <c r="G10" s="6"/>
      <c r="H10" s="6"/>
      <c r="I10" s="6"/>
      <c r="J10" s="6"/>
      <c r="K10" s="6"/>
    </row>
    <row r="11" spans="1:17">
      <c r="A11" s="5"/>
      <c r="D11" s="8"/>
      <c r="E11" s="8"/>
      <c r="F11" s="8"/>
      <c r="G11" s="8"/>
      <c r="H11" s="8"/>
      <c r="I11" s="8"/>
      <c r="J11" s="8"/>
      <c r="K11" s="8"/>
    </row>
    <row r="12" spans="1:17" ht="15.75">
      <c r="A12" s="9" t="s">
        <v>8</v>
      </c>
      <c r="B12" s="9" t="s">
        <v>9</v>
      </c>
      <c r="C12" s="9" t="s">
        <v>10</v>
      </c>
      <c r="D12" s="9" t="s">
        <v>11</v>
      </c>
      <c r="E12" s="9" t="s">
        <v>12</v>
      </c>
      <c r="F12" s="9" t="s">
        <v>13</v>
      </c>
      <c r="G12" s="9" t="s">
        <v>14</v>
      </c>
      <c r="H12" s="9" t="s">
        <v>15</v>
      </c>
      <c r="I12" s="9" t="s">
        <v>16</v>
      </c>
      <c r="J12" s="9" t="s">
        <v>15</v>
      </c>
      <c r="K12" s="9" t="s">
        <v>17</v>
      </c>
      <c r="L12" s="10" t="s">
        <v>18</v>
      </c>
      <c r="M12" s="11"/>
      <c r="N12" s="11"/>
      <c r="O12" s="12"/>
      <c r="P12" s="9" t="s">
        <v>19</v>
      </c>
    </row>
    <row r="13" spans="1:17" ht="11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13" t="s">
        <v>20</v>
      </c>
      <c r="M13" s="13" t="s">
        <v>21</v>
      </c>
      <c r="N13" s="14" t="s">
        <v>22</v>
      </c>
      <c r="O13" s="14" t="s">
        <v>23</v>
      </c>
      <c r="P13" s="9"/>
    </row>
    <row r="14" spans="1:17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5">
        <v>11</v>
      </c>
      <c r="L14" s="15">
        <v>12</v>
      </c>
      <c r="M14" s="15">
        <v>13</v>
      </c>
      <c r="N14" s="16">
        <v>14</v>
      </c>
      <c r="O14" s="16">
        <v>15</v>
      </c>
      <c r="P14" s="16">
        <v>16</v>
      </c>
    </row>
    <row r="15" spans="1:17">
      <c r="A15" s="17">
        <v>1</v>
      </c>
      <c r="B15" s="18" t="s">
        <v>24</v>
      </c>
      <c r="C15" s="19" t="s">
        <v>25</v>
      </c>
      <c r="D15" s="20" t="s">
        <v>26</v>
      </c>
      <c r="E15" s="19">
        <v>1.125</v>
      </c>
      <c r="F15" s="21" t="s">
        <v>27</v>
      </c>
      <c r="G15" s="22">
        <v>3.45</v>
      </c>
      <c r="H15" s="23">
        <f t="shared" ref="H15:H18" si="0">17697*G15</f>
        <v>61054.65</v>
      </c>
      <c r="I15" s="22">
        <v>1.5</v>
      </c>
      <c r="J15" s="24">
        <f t="shared" ref="J15:J18" si="1">H15*I15</f>
        <v>91581.975000000006</v>
      </c>
      <c r="K15" s="24">
        <f>J15*10%*E15</f>
        <v>10302.9721875</v>
      </c>
      <c r="L15" s="19"/>
      <c r="M15" s="23"/>
      <c r="N15" s="25"/>
      <c r="O15" s="25"/>
      <c r="P15" s="24">
        <f t="shared" ref="P15:P17" si="2">(J15*E15)+K15+L15+M15+N15+O15</f>
        <v>113332.6940625</v>
      </c>
      <c r="Q15" t="s">
        <v>28</v>
      </c>
    </row>
    <row r="16" spans="1:17">
      <c r="A16" s="17">
        <v>2</v>
      </c>
      <c r="B16" s="18" t="s">
        <v>24</v>
      </c>
      <c r="C16" s="19" t="s">
        <v>25</v>
      </c>
      <c r="D16" s="20" t="s">
        <v>26</v>
      </c>
      <c r="E16" s="19">
        <v>1.125</v>
      </c>
      <c r="F16" s="21" t="s">
        <v>27</v>
      </c>
      <c r="G16" s="22">
        <v>3.41</v>
      </c>
      <c r="H16" s="23">
        <v>61055</v>
      </c>
      <c r="I16" s="22">
        <v>1.5</v>
      </c>
      <c r="J16" s="24">
        <f t="shared" si="1"/>
        <v>91582.5</v>
      </c>
      <c r="K16" s="24">
        <f t="shared" ref="K16:K17" si="3">J16*10%*E16</f>
        <v>10303.03125</v>
      </c>
      <c r="L16" s="19"/>
      <c r="M16" s="23"/>
      <c r="N16" s="25"/>
      <c r="O16" s="25"/>
      <c r="P16" s="24">
        <f t="shared" si="2"/>
        <v>113333.34375</v>
      </c>
    </row>
    <row r="17" spans="1:16">
      <c r="A17" s="17">
        <v>3</v>
      </c>
      <c r="B17" s="18" t="s">
        <v>29</v>
      </c>
      <c r="C17" s="19" t="s">
        <v>25</v>
      </c>
      <c r="D17" s="20" t="s">
        <v>26</v>
      </c>
      <c r="E17" s="19">
        <v>0.25</v>
      </c>
      <c r="F17" s="21" t="s">
        <v>27</v>
      </c>
      <c r="G17" s="22">
        <v>3.41</v>
      </c>
      <c r="H17" s="23">
        <v>61055</v>
      </c>
      <c r="I17" s="22">
        <v>1.5</v>
      </c>
      <c r="J17" s="24">
        <f t="shared" si="1"/>
        <v>91582.5</v>
      </c>
      <c r="K17" s="24">
        <f t="shared" si="3"/>
        <v>2289.5625</v>
      </c>
      <c r="L17" s="19"/>
      <c r="M17" s="23"/>
      <c r="N17" s="25"/>
      <c r="O17" s="25"/>
      <c r="P17" s="24">
        <f t="shared" si="2"/>
        <v>25185.1875</v>
      </c>
    </row>
    <row r="18" spans="1:16">
      <c r="A18" s="17">
        <v>4</v>
      </c>
      <c r="B18" s="18" t="s">
        <v>30</v>
      </c>
      <c r="C18" s="19" t="s">
        <v>25</v>
      </c>
      <c r="D18" s="20" t="s">
        <v>31</v>
      </c>
      <c r="E18" s="19">
        <v>1.1499999999999999</v>
      </c>
      <c r="F18" s="21" t="s">
        <v>32</v>
      </c>
      <c r="G18" s="22">
        <v>2.98</v>
      </c>
      <c r="H18" s="23">
        <f t="shared" si="0"/>
        <v>52737.06</v>
      </c>
      <c r="I18" s="22"/>
      <c r="J18" s="24">
        <f t="shared" si="1"/>
        <v>0</v>
      </c>
      <c r="K18" s="24">
        <f>H18*10%*E18</f>
        <v>6064.7618999999995</v>
      </c>
      <c r="L18" s="26">
        <f t="shared" ref="L18:L19" si="4">17697*30%*E18</f>
        <v>6105.4649999999992</v>
      </c>
      <c r="M18" s="23"/>
      <c r="N18" s="25"/>
      <c r="O18" s="25"/>
      <c r="P18" s="27">
        <f>(H18*E18)+K18+L18+M18+N18+O18</f>
        <v>72817.845899999986</v>
      </c>
    </row>
    <row r="19" spans="1:16">
      <c r="A19" s="17">
        <v>5</v>
      </c>
      <c r="B19" s="18" t="s">
        <v>33</v>
      </c>
      <c r="C19" s="25"/>
      <c r="D19" s="25"/>
      <c r="E19" s="19">
        <v>0.25</v>
      </c>
      <c r="F19" s="21">
        <v>2</v>
      </c>
      <c r="G19" s="22">
        <v>2.81</v>
      </c>
      <c r="H19" s="23">
        <f>17697*G19</f>
        <v>49728.57</v>
      </c>
      <c r="I19" s="25"/>
      <c r="J19" s="25"/>
      <c r="K19" s="24">
        <f t="shared" ref="K19:K20" si="5">H19*10%*E19</f>
        <v>1243.21425</v>
      </c>
      <c r="L19" s="26">
        <f t="shared" si="4"/>
        <v>1327.2749999999999</v>
      </c>
      <c r="M19" s="23"/>
      <c r="N19" s="19"/>
      <c r="O19" s="25"/>
      <c r="P19" s="27">
        <f t="shared" ref="P19:P20" si="6">(H19*E19)+K19+L19+M19+N19+O19</f>
        <v>15002.631749999999</v>
      </c>
    </row>
    <row r="20" spans="1:16">
      <c r="A20" s="17">
        <v>6</v>
      </c>
      <c r="B20" s="18" t="s">
        <v>34</v>
      </c>
      <c r="C20" s="19"/>
      <c r="D20" s="25"/>
      <c r="E20" s="19">
        <v>0.25</v>
      </c>
      <c r="F20" s="21" t="s">
        <v>35</v>
      </c>
      <c r="G20" s="22">
        <v>2.96</v>
      </c>
      <c r="H20" s="23">
        <f t="shared" ref="H20" si="7">17697*G20</f>
        <v>52383.12</v>
      </c>
      <c r="I20" s="25"/>
      <c r="J20" s="25"/>
      <c r="K20" s="24">
        <f t="shared" si="5"/>
        <v>1309.5780000000002</v>
      </c>
      <c r="L20" s="26">
        <f>17697*30%*E20</f>
        <v>1327.2749999999999</v>
      </c>
      <c r="M20" s="23"/>
      <c r="N20" s="19"/>
      <c r="O20" s="25"/>
      <c r="P20" s="27">
        <f t="shared" si="6"/>
        <v>15732.633</v>
      </c>
    </row>
    <row r="21" spans="1:16">
      <c r="A21" s="25"/>
      <c r="B21" s="28" t="s">
        <v>36</v>
      </c>
      <c r="C21" s="28"/>
      <c r="D21" s="28"/>
      <c r="E21" s="29">
        <f>SUM(E15:E20)</f>
        <v>4.1500000000000004</v>
      </c>
      <c r="F21" s="29"/>
      <c r="G21" s="29"/>
      <c r="H21" s="30">
        <f t="shared" ref="H21:P21" si="8">SUM(H15:H20)</f>
        <v>338013.39999999997</v>
      </c>
      <c r="I21" s="29"/>
      <c r="J21" s="30">
        <f t="shared" si="8"/>
        <v>274746.97499999998</v>
      </c>
      <c r="K21" s="30">
        <f t="shared" si="8"/>
        <v>31513.120087500003</v>
      </c>
      <c r="L21" s="30">
        <f t="shared" si="8"/>
        <v>8760.0149999999994</v>
      </c>
      <c r="M21" s="29">
        <f t="shared" si="8"/>
        <v>0</v>
      </c>
      <c r="N21" s="29">
        <f t="shared" si="8"/>
        <v>0</v>
      </c>
      <c r="O21" s="29">
        <f t="shared" si="8"/>
        <v>0</v>
      </c>
      <c r="P21" s="30">
        <f t="shared" si="8"/>
        <v>355404.33596249996</v>
      </c>
    </row>
    <row r="24" spans="1:16">
      <c r="B24" s="31" t="s">
        <v>37</v>
      </c>
      <c r="D24" s="31"/>
      <c r="E24" s="31"/>
      <c r="F24" s="31"/>
      <c r="G24" s="31"/>
      <c r="H24" s="31"/>
      <c r="I24" s="31"/>
      <c r="J24" s="31"/>
      <c r="K24" s="32" t="s">
        <v>38</v>
      </c>
      <c r="L24" s="32"/>
      <c r="M24" s="31" t="s">
        <v>39</v>
      </c>
    </row>
    <row r="25" spans="1:16">
      <c r="B25" s="31"/>
      <c r="D25" s="31"/>
      <c r="E25" s="31"/>
      <c r="F25" s="31"/>
      <c r="G25" s="31"/>
      <c r="H25" s="31"/>
      <c r="I25" s="31"/>
      <c r="J25" s="31"/>
      <c r="K25" s="31"/>
      <c r="M25" s="31"/>
    </row>
    <row r="26" spans="1:16">
      <c r="B26" s="31" t="s">
        <v>40</v>
      </c>
      <c r="D26" s="31"/>
      <c r="E26" s="31"/>
      <c r="F26" s="31"/>
      <c r="G26" s="31"/>
      <c r="H26" s="31"/>
      <c r="I26" s="31"/>
      <c r="J26" s="31"/>
      <c r="K26" s="33" t="s">
        <v>41</v>
      </c>
      <c r="L26" s="33"/>
      <c r="M26" s="31" t="s">
        <v>42</v>
      </c>
    </row>
  </sheetData>
  <mergeCells count="22">
    <mergeCell ref="J12:J13"/>
    <mergeCell ref="K12:K13"/>
    <mergeCell ref="L12:O12"/>
    <mergeCell ref="P12:P13"/>
    <mergeCell ref="K24:L24"/>
    <mergeCell ref="K26:L26"/>
    <mergeCell ref="D10:K10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K1:N1"/>
    <mergeCell ref="J2:P2"/>
    <mergeCell ref="J3:P3"/>
    <mergeCell ref="J4:P4"/>
    <mergeCell ref="D7:K7"/>
    <mergeCell ref="D9:L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5"/>
  <sheetViews>
    <sheetView topLeftCell="C61" workbookViewId="0">
      <selection activeCell="U17" sqref="U17"/>
    </sheetView>
  </sheetViews>
  <sheetFormatPr defaultRowHeight="15"/>
  <cols>
    <col min="1" max="1" width="3.7109375" customWidth="1"/>
    <col min="2" max="2" width="24.7109375" customWidth="1"/>
    <col min="4" max="4" width="7.28515625" customWidth="1"/>
    <col min="5" max="5" width="8" customWidth="1"/>
    <col min="6" max="6" width="7.7109375" customWidth="1"/>
    <col min="7" max="7" width="10.5703125" customWidth="1"/>
    <col min="9" max="9" width="9.42578125" customWidth="1"/>
    <col min="12" max="12" width="9.85546875" customWidth="1"/>
    <col min="13" max="13" width="8.7109375" customWidth="1"/>
    <col min="14" max="14" width="7.7109375" customWidth="1"/>
    <col min="15" max="15" width="7.5703125" customWidth="1"/>
    <col min="16" max="16" width="8.85546875" customWidth="1"/>
    <col min="17" max="17" width="12" customWidth="1"/>
  </cols>
  <sheetData>
    <row r="1" spans="1:18" ht="15.75">
      <c r="K1" s="1" t="s">
        <v>0</v>
      </c>
      <c r="L1" s="1"/>
      <c r="M1" s="1"/>
      <c r="N1" s="1"/>
      <c r="O1" s="2"/>
    </row>
    <row r="2" spans="1:18" ht="15.75">
      <c r="J2" s="1" t="s">
        <v>1</v>
      </c>
      <c r="K2" s="1"/>
      <c r="L2" s="1"/>
      <c r="M2" s="1"/>
      <c r="N2" s="1"/>
      <c r="O2" s="1"/>
      <c r="P2" s="1"/>
    </row>
    <row r="3" spans="1:18" ht="15.75">
      <c r="J3" s="1" t="s">
        <v>2</v>
      </c>
      <c r="K3" s="1"/>
      <c r="L3" s="1"/>
      <c r="M3" s="1"/>
      <c r="N3" s="1"/>
      <c r="O3" s="1"/>
      <c r="P3" s="1"/>
    </row>
    <row r="4" spans="1:18" ht="15.75">
      <c r="I4" s="3"/>
      <c r="J4" s="1" t="s">
        <v>43</v>
      </c>
      <c r="K4" s="1"/>
      <c r="L4" s="1"/>
      <c r="M4" s="1"/>
      <c r="N4" s="1"/>
      <c r="O4" s="1"/>
      <c r="P4" s="1"/>
    </row>
    <row r="5" spans="1:18" ht="15.75">
      <c r="A5" s="5"/>
      <c r="D5" s="6" t="s">
        <v>4</v>
      </c>
      <c r="E5" s="6"/>
      <c r="F5" s="6"/>
      <c r="G5" s="6"/>
      <c r="H5" s="6"/>
      <c r="I5" s="6"/>
      <c r="J5" s="6"/>
      <c r="K5" s="6"/>
    </row>
    <row r="6" spans="1:18" ht="15.75">
      <c r="A6" s="5"/>
      <c r="D6" s="7" t="s">
        <v>5</v>
      </c>
      <c r="E6" s="7"/>
      <c r="F6" s="7"/>
      <c r="G6" s="7"/>
      <c r="H6" s="7"/>
      <c r="I6" s="7"/>
      <c r="J6" s="7"/>
      <c r="K6" s="7"/>
    </row>
    <row r="7" spans="1:18" ht="15.75">
      <c r="A7" s="5"/>
      <c r="D7" s="7"/>
      <c r="E7" s="7" t="s">
        <v>6</v>
      </c>
      <c r="F7" s="7"/>
      <c r="G7" s="7"/>
      <c r="H7" s="7"/>
      <c r="I7" s="7"/>
      <c r="J7" s="7"/>
      <c r="K7" s="7"/>
    </row>
    <row r="8" spans="1:18" ht="15.75">
      <c r="A8" s="5"/>
      <c r="D8" s="6" t="s">
        <v>7</v>
      </c>
      <c r="E8" s="6"/>
      <c r="F8" s="6"/>
      <c r="G8" s="6"/>
      <c r="H8" s="6"/>
      <c r="I8" s="6"/>
      <c r="J8" s="6"/>
      <c r="K8" s="6"/>
    </row>
    <row r="9" spans="1:18" ht="15.75">
      <c r="A9" s="9" t="s">
        <v>8</v>
      </c>
      <c r="B9" s="9" t="s">
        <v>9</v>
      </c>
      <c r="C9" s="9" t="s">
        <v>10</v>
      </c>
      <c r="D9" s="9" t="s">
        <v>11</v>
      </c>
      <c r="E9" s="9" t="s">
        <v>12</v>
      </c>
      <c r="F9" s="9" t="s">
        <v>13</v>
      </c>
      <c r="G9" s="9" t="s">
        <v>14</v>
      </c>
      <c r="H9" s="9" t="s">
        <v>15</v>
      </c>
      <c r="I9" s="9" t="s">
        <v>16</v>
      </c>
      <c r="J9" s="9" t="s">
        <v>15</v>
      </c>
      <c r="K9" s="9" t="s">
        <v>17</v>
      </c>
      <c r="L9" s="10" t="s">
        <v>18</v>
      </c>
      <c r="M9" s="11"/>
      <c r="N9" s="11"/>
      <c r="O9" s="12"/>
      <c r="P9" s="9" t="s">
        <v>19</v>
      </c>
    </row>
    <row r="10" spans="1:18" ht="11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13" t="s">
        <v>20</v>
      </c>
      <c r="M10" s="13" t="s">
        <v>21</v>
      </c>
      <c r="N10" s="14" t="s">
        <v>22</v>
      </c>
      <c r="O10" s="14" t="s">
        <v>23</v>
      </c>
      <c r="P10" s="9"/>
    </row>
    <row r="11" spans="1:18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  <c r="N11" s="16">
        <v>14</v>
      </c>
      <c r="O11" s="16">
        <v>15</v>
      </c>
      <c r="P11" s="16">
        <v>16</v>
      </c>
    </row>
    <row r="12" spans="1:18">
      <c r="A12" s="17">
        <v>1</v>
      </c>
      <c r="B12" s="18" t="s">
        <v>44</v>
      </c>
      <c r="C12" s="19" t="s">
        <v>45</v>
      </c>
      <c r="D12" s="20" t="s">
        <v>46</v>
      </c>
      <c r="E12" s="19">
        <v>1</v>
      </c>
      <c r="F12" s="19" t="s">
        <v>47</v>
      </c>
      <c r="G12" s="22">
        <v>5.889981352771656</v>
      </c>
      <c r="H12" s="34">
        <f>17697*G12</f>
        <v>104235</v>
      </c>
      <c r="I12" s="22">
        <v>1.5</v>
      </c>
      <c r="J12" s="27">
        <f>H12*I12</f>
        <v>156352.5</v>
      </c>
      <c r="K12" s="27">
        <f>J12*10%*E12</f>
        <v>15635.25</v>
      </c>
      <c r="L12" s="19"/>
      <c r="M12" s="23"/>
      <c r="N12" s="17"/>
      <c r="O12" s="17"/>
      <c r="P12" s="27">
        <f>(J12*E12)+K12+L12+M12+N12+O12</f>
        <v>171987.75</v>
      </c>
      <c r="Q12" s="43"/>
      <c r="R12" s="43"/>
    </row>
    <row r="13" spans="1:18">
      <c r="A13" s="17">
        <v>2</v>
      </c>
      <c r="B13" s="18" t="s">
        <v>48</v>
      </c>
      <c r="C13" s="19" t="s">
        <v>45</v>
      </c>
      <c r="D13" s="20" t="s">
        <v>49</v>
      </c>
      <c r="E13" s="19">
        <v>0.5</v>
      </c>
      <c r="F13" s="19" t="s">
        <v>50</v>
      </c>
      <c r="G13" s="22">
        <v>5.9099847431768096</v>
      </c>
      <c r="H13" s="34">
        <f t="shared" ref="H13:H55" si="0">17697*G13</f>
        <v>104589</v>
      </c>
      <c r="I13" s="22">
        <v>1.5</v>
      </c>
      <c r="J13" s="27">
        <f t="shared" ref="J13:J55" si="1">H13*I13</f>
        <v>156883.5</v>
      </c>
      <c r="K13" s="27">
        <f t="shared" ref="K13:K34" si="2">J13*10%*E13</f>
        <v>7844.1750000000002</v>
      </c>
      <c r="L13" s="19"/>
      <c r="M13" s="23"/>
      <c r="N13" s="17"/>
      <c r="O13" s="17"/>
      <c r="P13" s="27">
        <f t="shared" ref="P13:P34" si="3">(J13*E13)+K13+L13+M13+N13+O13</f>
        <v>86285.925000000003</v>
      </c>
      <c r="Q13" s="43"/>
      <c r="R13" s="43"/>
    </row>
    <row r="14" spans="1:18">
      <c r="A14" s="17">
        <v>3</v>
      </c>
      <c r="B14" s="18" t="s">
        <v>51</v>
      </c>
      <c r="C14" s="19" t="s">
        <v>45</v>
      </c>
      <c r="D14" s="20" t="s">
        <v>52</v>
      </c>
      <c r="E14" s="19">
        <v>1</v>
      </c>
      <c r="F14" s="19" t="s">
        <v>50</v>
      </c>
      <c r="G14" s="22">
        <v>5.9099847431768096</v>
      </c>
      <c r="H14" s="34">
        <f>17697*G14</f>
        <v>104589</v>
      </c>
      <c r="I14" s="22">
        <v>1.5</v>
      </c>
      <c r="J14" s="27">
        <f>H14*I14</f>
        <v>156883.5</v>
      </c>
      <c r="K14" s="27">
        <f>J14*10%*E14</f>
        <v>15688.35</v>
      </c>
      <c r="L14" s="19"/>
      <c r="M14" s="23"/>
      <c r="N14" s="17"/>
      <c r="O14" s="17"/>
      <c r="P14" s="27">
        <f>(J14*E14)+K14+L14+M14+N14+O14</f>
        <v>172571.85</v>
      </c>
      <c r="Q14" s="43"/>
      <c r="R14" s="43"/>
    </row>
    <row r="15" spans="1:18">
      <c r="A15" s="17">
        <v>4</v>
      </c>
      <c r="B15" s="18" t="s">
        <v>53</v>
      </c>
      <c r="C15" s="19" t="s">
        <v>45</v>
      </c>
      <c r="D15" s="20" t="s">
        <v>54</v>
      </c>
      <c r="E15" s="19">
        <v>1</v>
      </c>
      <c r="F15" s="19" t="s">
        <v>50</v>
      </c>
      <c r="G15" s="22">
        <v>5.5899870034469119</v>
      </c>
      <c r="H15" s="34">
        <f>17697*G15</f>
        <v>98926</v>
      </c>
      <c r="I15" s="22">
        <v>1.5</v>
      </c>
      <c r="J15" s="27">
        <f>H15*I15</f>
        <v>148389</v>
      </c>
      <c r="K15" s="27">
        <f>J15*10%*E15</f>
        <v>14838.900000000001</v>
      </c>
      <c r="L15" s="19"/>
      <c r="M15" s="23"/>
      <c r="N15" s="17"/>
      <c r="O15" s="17"/>
      <c r="P15" s="27">
        <f>(J15*E15)+K15+L15+M15+N15+O15</f>
        <v>163227.9</v>
      </c>
      <c r="Q15" s="43"/>
      <c r="R15" s="43"/>
    </row>
    <row r="16" spans="1:18">
      <c r="A16" s="17">
        <v>5</v>
      </c>
      <c r="B16" s="18" t="s">
        <v>48</v>
      </c>
      <c r="C16" s="19" t="s">
        <v>45</v>
      </c>
      <c r="D16" s="20" t="s">
        <v>55</v>
      </c>
      <c r="E16" s="19">
        <v>1</v>
      </c>
      <c r="F16" s="19" t="s">
        <v>50</v>
      </c>
      <c r="G16" s="22">
        <v>5.4300163869582416</v>
      </c>
      <c r="H16" s="34">
        <f t="shared" si="0"/>
        <v>96095</v>
      </c>
      <c r="I16" s="22">
        <v>1.5</v>
      </c>
      <c r="J16" s="27">
        <f t="shared" si="1"/>
        <v>144142.5</v>
      </c>
      <c r="K16" s="27">
        <f t="shared" si="2"/>
        <v>14414.25</v>
      </c>
      <c r="L16" s="19"/>
      <c r="M16" s="23"/>
      <c r="N16" s="17"/>
      <c r="O16" s="17"/>
      <c r="P16" s="27">
        <f t="shared" si="3"/>
        <v>158556.75</v>
      </c>
      <c r="Q16" s="43"/>
      <c r="R16" s="43"/>
    </row>
    <row r="17" spans="1:18">
      <c r="A17" s="17">
        <v>6</v>
      </c>
      <c r="B17" s="18" t="s">
        <v>56</v>
      </c>
      <c r="C17" s="19" t="s">
        <v>57</v>
      </c>
      <c r="D17" s="20" t="s">
        <v>58</v>
      </c>
      <c r="E17" s="35">
        <v>0.5</v>
      </c>
      <c r="F17" s="36" t="s">
        <v>59</v>
      </c>
      <c r="G17" s="22">
        <v>5.03</v>
      </c>
      <c r="H17" s="23">
        <f t="shared" si="0"/>
        <v>89015.91</v>
      </c>
      <c r="I17" s="22">
        <v>1.5</v>
      </c>
      <c r="J17" s="27">
        <f t="shared" si="1"/>
        <v>133523.86499999999</v>
      </c>
      <c r="K17" s="27">
        <f t="shared" si="2"/>
        <v>6676.1932500000003</v>
      </c>
      <c r="L17" s="19"/>
      <c r="M17" s="23"/>
      <c r="N17" s="17"/>
      <c r="O17" s="17"/>
      <c r="P17" s="27">
        <f t="shared" si="3"/>
        <v>73438.125749999992</v>
      </c>
      <c r="Q17" s="43"/>
      <c r="R17" s="43"/>
    </row>
    <row r="18" spans="1:18">
      <c r="A18" s="17">
        <v>7</v>
      </c>
      <c r="B18" s="18" t="s">
        <v>56</v>
      </c>
      <c r="C18" s="19" t="s">
        <v>60</v>
      </c>
      <c r="D18" s="20" t="s">
        <v>61</v>
      </c>
      <c r="E18" s="35">
        <v>0.5</v>
      </c>
      <c r="F18" s="36" t="s">
        <v>62</v>
      </c>
      <c r="G18" s="22">
        <v>4.7400124314855629</v>
      </c>
      <c r="H18" s="34">
        <f t="shared" si="0"/>
        <v>83884.000000000015</v>
      </c>
      <c r="I18" s="22">
        <v>1.5</v>
      </c>
      <c r="J18" s="27">
        <f t="shared" si="1"/>
        <v>125826.00000000003</v>
      </c>
      <c r="K18" s="27">
        <f t="shared" si="2"/>
        <v>6291.300000000002</v>
      </c>
      <c r="L18" s="19"/>
      <c r="M18" s="23"/>
      <c r="N18" s="17"/>
      <c r="O18" s="17"/>
      <c r="P18" s="27">
        <f t="shared" si="3"/>
        <v>69204.300000000017</v>
      </c>
      <c r="Q18" s="43"/>
      <c r="R18" s="43"/>
    </row>
    <row r="19" spans="1:18">
      <c r="A19" s="17">
        <v>8</v>
      </c>
      <c r="B19" s="18" t="s">
        <v>63</v>
      </c>
      <c r="C19" s="19" t="s">
        <v>57</v>
      </c>
      <c r="D19" s="20" t="s">
        <v>64</v>
      </c>
      <c r="E19" s="19">
        <v>1</v>
      </c>
      <c r="F19" s="19" t="s">
        <v>59</v>
      </c>
      <c r="G19" s="22">
        <v>4.79</v>
      </c>
      <c r="H19" s="23">
        <f t="shared" si="0"/>
        <v>84768.63</v>
      </c>
      <c r="I19" s="22">
        <v>1.5</v>
      </c>
      <c r="J19" s="27">
        <f t="shared" si="1"/>
        <v>127152.94500000001</v>
      </c>
      <c r="K19" s="27">
        <f t="shared" si="2"/>
        <v>12715.294500000002</v>
      </c>
      <c r="L19" s="19"/>
      <c r="M19" s="23"/>
      <c r="N19" s="17"/>
      <c r="O19" s="17">
        <v>7079</v>
      </c>
      <c r="P19" s="27">
        <f t="shared" si="3"/>
        <v>146947.2395</v>
      </c>
      <c r="Q19" s="43"/>
      <c r="R19" s="43"/>
    </row>
    <row r="20" spans="1:18">
      <c r="A20" s="17">
        <v>9</v>
      </c>
      <c r="B20" s="18" t="s">
        <v>65</v>
      </c>
      <c r="C20" s="19" t="s">
        <v>66</v>
      </c>
      <c r="D20" s="20" t="s">
        <v>67</v>
      </c>
      <c r="E20" s="19">
        <v>0.5</v>
      </c>
      <c r="F20" s="21" t="s">
        <v>68</v>
      </c>
      <c r="G20" s="22">
        <v>4.3299994349324749</v>
      </c>
      <c r="H20" s="34">
        <f t="shared" si="0"/>
        <v>76628.000000000015</v>
      </c>
      <c r="I20" s="22">
        <v>1.5</v>
      </c>
      <c r="J20" s="27">
        <f t="shared" si="1"/>
        <v>114942.00000000003</v>
      </c>
      <c r="K20" s="27">
        <f t="shared" si="2"/>
        <v>5747.1000000000022</v>
      </c>
      <c r="L20" s="19"/>
      <c r="M20" s="23"/>
      <c r="N20" s="17"/>
      <c r="O20" s="17">
        <v>3539</v>
      </c>
      <c r="P20" s="27">
        <f t="shared" si="3"/>
        <v>66757.10000000002</v>
      </c>
      <c r="Q20" s="43"/>
      <c r="R20" s="43"/>
    </row>
    <row r="21" spans="1:18">
      <c r="A21" s="17">
        <v>10</v>
      </c>
      <c r="B21" s="18" t="s">
        <v>69</v>
      </c>
      <c r="C21" s="19" t="s">
        <v>66</v>
      </c>
      <c r="D21" s="20" t="s">
        <v>70</v>
      </c>
      <c r="E21" s="19">
        <v>1.1000000000000001</v>
      </c>
      <c r="F21" s="21" t="s">
        <v>71</v>
      </c>
      <c r="G21" s="22">
        <v>4.2300000000000004</v>
      </c>
      <c r="H21" s="23">
        <v>74150</v>
      </c>
      <c r="I21" s="22">
        <v>1.5</v>
      </c>
      <c r="J21" s="27">
        <f t="shared" si="1"/>
        <v>111225</v>
      </c>
      <c r="K21" s="27">
        <f t="shared" si="2"/>
        <v>12234.750000000002</v>
      </c>
      <c r="L21" s="19"/>
      <c r="M21" s="23"/>
      <c r="N21" s="17"/>
      <c r="O21" s="17"/>
      <c r="P21" s="27">
        <f t="shared" si="3"/>
        <v>134582.25000000003</v>
      </c>
      <c r="Q21" s="43"/>
      <c r="R21" s="43"/>
    </row>
    <row r="22" spans="1:18">
      <c r="A22" s="17">
        <v>11</v>
      </c>
      <c r="B22" s="18" t="s">
        <v>24</v>
      </c>
      <c r="C22" s="19" t="s">
        <v>60</v>
      </c>
      <c r="D22" s="20" t="s">
        <v>72</v>
      </c>
      <c r="E22" s="19">
        <v>1.1000000000000001</v>
      </c>
      <c r="F22" s="21" t="s">
        <v>73</v>
      </c>
      <c r="G22" s="22">
        <v>4.28</v>
      </c>
      <c r="H22" s="23">
        <f t="shared" si="0"/>
        <v>75743.16</v>
      </c>
      <c r="I22" s="22">
        <v>1.5</v>
      </c>
      <c r="J22" s="27">
        <f t="shared" si="1"/>
        <v>113614.74</v>
      </c>
      <c r="K22" s="27">
        <f t="shared" si="2"/>
        <v>12497.621400000004</v>
      </c>
      <c r="L22" s="19"/>
      <c r="M22" s="23"/>
      <c r="N22" s="17"/>
      <c r="O22" s="17"/>
      <c r="P22" s="27">
        <f t="shared" si="3"/>
        <v>137473.83540000004</v>
      </c>
      <c r="Q22" s="43"/>
      <c r="R22" s="43"/>
    </row>
    <row r="23" spans="1:18">
      <c r="A23" s="17">
        <v>12</v>
      </c>
      <c r="B23" s="18" t="s">
        <v>24</v>
      </c>
      <c r="C23" s="19" t="s">
        <v>60</v>
      </c>
      <c r="D23" s="20" t="s">
        <v>61</v>
      </c>
      <c r="E23" s="19">
        <v>0.38</v>
      </c>
      <c r="F23" s="21" t="s">
        <v>73</v>
      </c>
      <c r="G23" s="22">
        <v>4.1399999999999997</v>
      </c>
      <c r="H23" s="23">
        <f t="shared" si="0"/>
        <v>73265.579999999987</v>
      </c>
      <c r="I23" s="22">
        <v>1.5</v>
      </c>
      <c r="J23" s="27">
        <f>H23*I23</f>
        <v>109898.36999999998</v>
      </c>
      <c r="K23" s="27">
        <f>J23*10%*E23</f>
        <v>4176.1380600000002</v>
      </c>
      <c r="L23" s="19"/>
      <c r="M23" s="23"/>
      <c r="N23" s="17"/>
      <c r="O23" s="17"/>
      <c r="P23" s="27">
        <f>(J23*E23)+K23+L23+M23+N23+O23</f>
        <v>45937.518659999994</v>
      </c>
      <c r="Q23" s="43"/>
      <c r="R23" s="43"/>
    </row>
    <row r="24" spans="1:18">
      <c r="A24" s="17">
        <v>13</v>
      </c>
      <c r="B24" s="18" t="s">
        <v>24</v>
      </c>
      <c r="C24" s="19" t="s">
        <v>66</v>
      </c>
      <c r="D24" s="20" t="s">
        <v>74</v>
      </c>
      <c r="E24" s="19">
        <v>0.73</v>
      </c>
      <c r="F24" s="21" t="s">
        <v>71</v>
      </c>
      <c r="G24" s="22">
        <v>4.1900000000000004</v>
      </c>
      <c r="H24" s="23">
        <f t="shared" si="0"/>
        <v>74150.430000000008</v>
      </c>
      <c r="I24" s="22">
        <v>1.5</v>
      </c>
      <c r="J24" s="27">
        <f t="shared" si="1"/>
        <v>111225.64500000002</v>
      </c>
      <c r="K24" s="27">
        <f t="shared" si="2"/>
        <v>8119.4720850000012</v>
      </c>
      <c r="L24" s="19"/>
      <c r="M24" s="23"/>
      <c r="N24" s="17"/>
      <c r="O24" s="17"/>
      <c r="P24" s="27">
        <f t="shared" si="3"/>
        <v>89314.192935000014</v>
      </c>
      <c r="Q24" s="43"/>
      <c r="R24" s="43"/>
    </row>
    <row r="25" spans="1:18">
      <c r="A25" s="17">
        <v>14</v>
      </c>
      <c r="B25" s="18" t="s">
        <v>24</v>
      </c>
      <c r="C25" s="19" t="s">
        <v>25</v>
      </c>
      <c r="D25" s="20" t="s">
        <v>75</v>
      </c>
      <c r="E25" s="19">
        <v>0.78</v>
      </c>
      <c r="F25" s="21" t="s">
        <v>27</v>
      </c>
      <c r="G25" s="22">
        <v>3.73</v>
      </c>
      <c r="H25" s="23">
        <f t="shared" si="0"/>
        <v>66009.81</v>
      </c>
      <c r="I25" s="22">
        <v>1.5</v>
      </c>
      <c r="J25" s="27">
        <f t="shared" si="1"/>
        <v>99014.714999999997</v>
      </c>
      <c r="K25" s="27">
        <f t="shared" si="2"/>
        <v>7723.1477699999996</v>
      </c>
      <c r="L25" s="19"/>
      <c r="M25" s="23"/>
      <c r="N25" s="17"/>
      <c r="O25" s="17"/>
      <c r="P25" s="27">
        <f t="shared" si="3"/>
        <v>84954.625469999999</v>
      </c>
      <c r="Q25" s="43"/>
      <c r="R25" s="43"/>
    </row>
    <row r="26" spans="1:18">
      <c r="A26" s="17">
        <v>15</v>
      </c>
      <c r="B26" s="18" t="s">
        <v>24</v>
      </c>
      <c r="C26" s="19" t="s">
        <v>76</v>
      </c>
      <c r="D26" s="20" t="s">
        <v>77</v>
      </c>
      <c r="E26" s="19">
        <v>0.98</v>
      </c>
      <c r="F26" s="21" t="s">
        <v>78</v>
      </c>
      <c r="G26" s="22">
        <v>4.29</v>
      </c>
      <c r="H26" s="23">
        <f t="shared" si="0"/>
        <v>75920.13</v>
      </c>
      <c r="I26" s="22">
        <v>1.5</v>
      </c>
      <c r="J26" s="27">
        <f t="shared" si="1"/>
        <v>113880.19500000001</v>
      </c>
      <c r="K26" s="27">
        <f t="shared" si="2"/>
        <v>11160.259110000003</v>
      </c>
      <c r="L26" s="19"/>
      <c r="M26" s="23"/>
      <c r="N26" s="17"/>
      <c r="O26" s="17"/>
      <c r="P26" s="27">
        <f t="shared" si="3"/>
        <v>122762.85021</v>
      </c>
      <c r="Q26" s="43"/>
      <c r="R26" s="43"/>
    </row>
    <row r="27" spans="1:18">
      <c r="A27" s="17">
        <v>16</v>
      </c>
      <c r="B27" s="18" t="s">
        <v>24</v>
      </c>
      <c r="C27" s="19" t="s">
        <v>76</v>
      </c>
      <c r="D27" s="20" t="s">
        <v>79</v>
      </c>
      <c r="E27" s="19">
        <v>0.98</v>
      </c>
      <c r="F27" s="21" t="s">
        <v>78</v>
      </c>
      <c r="G27" s="22">
        <v>4.2199807877041309</v>
      </c>
      <c r="H27" s="23">
        <f t="shared" si="0"/>
        <v>74681</v>
      </c>
      <c r="I27" s="22">
        <v>1.5</v>
      </c>
      <c r="J27" s="27">
        <f t="shared" si="1"/>
        <v>112021.5</v>
      </c>
      <c r="K27" s="27">
        <f t="shared" si="2"/>
        <v>10978.107000000002</v>
      </c>
      <c r="L27" s="19"/>
      <c r="M27" s="23"/>
      <c r="N27" s="17"/>
      <c r="O27" s="17"/>
      <c r="P27" s="27">
        <f t="shared" si="3"/>
        <v>120759.177</v>
      </c>
      <c r="Q27" s="43"/>
      <c r="R27" s="43"/>
    </row>
    <row r="28" spans="1:18">
      <c r="A28" s="17">
        <v>17</v>
      </c>
      <c r="B28" s="18" t="s">
        <v>24</v>
      </c>
      <c r="C28" s="19" t="s">
        <v>25</v>
      </c>
      <c r="D28" s="20" t="s">
        <v>80</v>
      </c>
      <c r="E28" s="19">
        <v>1</v>
      </c>
      <c r="F28" s="21" t="s">
        <v>27</v>
      </c>
      <c r="G28" s="22">
        <v>3.36</v>
      </c>
      <c r="H28" s="23">
        <f t="shared" si="0"/>
        <v>59461.919999999998</v>
      </c>
      <c r="I28" s="22">
        <v>1.5</v>
      </c>
      <c r="J28" s="27">
        <f t="shared" si="1"/>
        <v>89192.88</v>
      </c>
      <c r="K28" s="27">
        <f t="shared" si="2"/>
        <v>8919.2880000000005</v>
      </c>
      <c r="L28" s="19"/>
      <c r="M28" s="23"/>
      <c r="N28" s="17"/>
      <c r="O28" s="17"/>
      <c r="P28" s="27">
        <f t="shared" si="3"/>
        <v>98112.168000000005</v>
      </c>
      <c r="Q28" s="43"/>
      <c r="R28" s="43"/>
    </row>
    <row r="29" spans="1:18" ht="26.25">
      <c r="A29" s="17">
        <v>18</v>
      </c>
      <c r="B29" s="18" t="s">
        <v>81</v>
      </c>
      <c r="C29" s="19" t="s">
        <v>25</v>
      </c>
      <c r="D29" s="20" t="s">
        <v>82</v>
      </c>
      <c r="E29" s="19">
        <v>1</v>
      </c>
      <c r="F29" s="19" t="s">
        <v>27</v>
      </c>
      <c r="G29" s="22">
        <v>3.36</v>
      </c>
      <c r="H29" s="23">
        <f t="shared" si="0"/>
        <v>59461.919999999998</v>
      </c>
      <c r="I29" s="22">
        <v>1.5</v>
      </c>
      <c r="J29" s="27">
        <f t="shared" si="1"/>
        <v>89192.88</v>
      </c>
      <c r="K29" s="27">
        <f t="shared" si="2"/>
        <v>8919.2880000000005</v>
      </c>
      <c r="L29" s="19"/>
      <c r="M29" s="23"/>
      <c r="N29" s="17"/>
      <c r="O29" s="17">
        <v>7079</v>
      </c>
      <c r="P29" s="27">
        <f t="shared" si="3"/>
        <v>105191.16800000001</v>
      </c>
      <c r="Q29" s="43"/>
      <c r="R29" s="43"/>
    </row>
    <row r="30" spans="1:18">
      <c r="A30" s="17">
        <v>19</v>
      </c>
      <c r="B30" s="18" t="s">
        <v>83</v>
      </c>
      <c r="C30" s="19" t="s">
        <v>66</v>
      </c>
      <c r="D30" s="20" t="s">
        <v>58</v>
      </c>
      <c r="E30" s="19">
        <v>1</v>
      </c>
      <c r="F30" s="19" t="s">
        <v>71</v>
      </c>
      <c r="G30" s="22">
        <v>4.0600101712154606</v>
      </c>
      <c r="H30" s="34">
        <f t="shared" si="0"/>
        <v>71850</v>
      </c>
      <c r="I30" s="22">
        <v>1.5</v>
      </c>
      <c r="J30" s="27">
        <f t="shared" si="1"/>
        <v>107775</v>
      </c>
      <c r="K30" s="27">
        <f t="shared" si="2"/>
        <v>10777.5</v>
      </c>
      <c r="L30" s="19"/>
      <c r="M30" s="23"/>
      <c r="N30" s="17"/>
      <c r="O30" s="17"/>
      <c r="P30" s="27">
        <f t="shared" si="3"/>
        <v>118552.5</v>
      </c>
      <c r="Q30" s="43"/>
      <c r="R30" s="43"/>
    </row>
    <row r="31" spans="1:18">
      <c r="A31" s="17">
        <v>20</v>
      </c>
      <c r="B31" s="18" t="s">
        <v>84</v>
      </c>
      <c r="C31" s="19" t="s">
        <v>60</v>
      </c>
      <c r="D31" s="20" t="s">
        <v>67</v>
      </c>
      <c r="E31" s="19">
        <v>1</v>
      </c>
      <c r="F31" s="19" t="s">
        <v>73</v>
      </c>
      <c r="G31" s="22">
        <v>4.1399999999999997</v>
      </c>
      <c r="H31" s="23">
        <f>17697*G31</f>
        <v>73265.579999999987</v>
      </c>
      <c r="I31" s="22">
        <v>1.5</v>
      </c>
      <c r="J31" s="27">
        <f>H31*I31</f>
        <v>109898.36999999998</v>
      </c>
      <c r="K31" s="27">
        <f>J31*10%*E31</f>
        <v>10989.837</v>
      </c>
      <c r="L31" s="19"/>
      <c r="M31" s="23"/>
      <c r="N31" s="17"/>
      <c r="O31" s="17"/>
      <c r="P31" s="27">
        <f>(J31*E31)+K31+L31+M31+N31+O31</f>
        <v>120888.20699999998</v>
      </c>
      <c r="Q31" s="43"/>
      <c r="R31" s="43"/>
    </row>
    <row r="32" spans="1:18">
      <c r="A32" s="17">
        <v>21</v>
      </c>
      <c r="B32" s="18" t="s">
        <v>85</v>
      </c>
      <c r="C32" s="19" t="s">
        <v>66</v>
      </c>
      <c r="D32" s="20" t="s">
        <v>86</v>
      </c>
      <c r="E32" s="19">
        <v>1</v>
      </c>
      <c r="F32" s="19" t="s">
        <v>71</v>
      </c>
      <c r="G32" s="22">
        <v>3.94</v>
      </c>
      <c r="H32" s="23">
        <f>17697*G32</f>
        <v>69726.179999999993</v>
      </c>
      <c r="I32" s="22">
        <v>1.5</v>
      </c>
      <c r="J32" s="27">
        <f>H32*I32</f>
        <v>104589.26999999999</v>
      </c>
      <c r="K32" s="27">
        <f>J32*10%*E32</f>
        <v>10458.927</v>
      </c>
      <c r="L32" s="19"/>
      <c r="M32" s="23"/>
      <c r="N32" s="17"/>
      <c r="O32" s="17"/>
      <c r="P32" s="27">
        <f>(J32*E32)+K32+L32+M32+N32+O32</f>
        <v>115048.19699999999</v>
      </c>
      <c r="Q32" s="43"/>
      <c r="R32" s="43"/>
    </row>
    <row r="33" spans="1:18">
      <c r="A33" s="17">
        <v>22</v>
      </c>
      <c r="B33" s="18" t="s">
        <v>87</v>
      </c>
      <c r="C33" s="19" t="s">
        <v>66</v>
      </c>
      <c r="D33" s="20" t="s">
        <v>88</v>
      </c>
      <c r="E33" s="19">
        <v>0.6</v>
      </c>
      <c r="F33" s="19" t="s">
        <v>71</v>
      </c>
      <c r="G33" s="22">
        <v>3.8499745719613494</v>
      </c>
      <c r="H33" s="23">
        <f t="shared" si="0"/>
        <v>68133</v>
      </c>
      <c r="I33" s="22">
        <v>1.5</v>
      </c>
      <c r="J33" s="27">
        <f t="shared" si="1"/>
        <v>102199.5</v>
      </c>
      <c r="K33" s="27">
        <f t="shared" si="2"/>
        <v>6131.97</v>
      </c>
      <c r="L33" s="19"/>
      <c r="M33" s="23"/>
      <c r="N33" s="17"/>
      <c r="O33" s="17"/>
      <c r="P33" s="27">
        <f t="shared" si="3"/>
        <v>67451.67</v>
      </c>
      <c r="Q33" s="43"/>
      <c r="R33" s="43"/>
    </row>
    <row r="34" spans="1:18">
      <c r="A34" s="17">
        <v>23</v>
      </c>
      <c r="B34" s="18" t="s">
        <v>87</v>
      </c>
      <c r="C34" s="19" t="s">
        <v>25</v>
      </c>
      <c r="D34" s="20" t="s">
        <v>89</v>
      </c>
      <c r="E34" s="19">
        <v>0.4</v>
      </c>
      <c r="F34" s="19" t="s">
        <v>27</v>
      </c>
      <c r="G34" s="22">
        <v>3.53</v>
      </c>
      <c r="H34" s="23">
        <f t="shared" si="0"/>
        <v>62470.409999999996</v>
      </c>
      <c r="I34" s="22">
        <v>1.5</v>
      </c>
      <c r="J34" s="27">
        <f t="shared" si="1"/>
        <v>93705.614999999991</v>
      </c>
      <c r="K34" s="27">
        <f t="shared" si="2"/>
        <v>3748.2246</v>
      </c>
      <c r="L34" s="19"/>
      <c r="M34" s="23"/>
      <c r="N34" s="17"/>
      <c r="O34" s="17"/>
      <c r="P34" s="27">
        <f t="shared" si="3"/>
        <v>41230.470600000001</v>
      </c>
      <c r="Q34" s="43"/>
      <c r="R34" s="43"/>
    </row>
    <row r="35" spans="1:18">
      <c r="A35" s="17">
        <v>24</v>
      </c>
      <c r="B35" s="18" t="s">
        <v>90</v>
      </c>
      <c r="C35" s="19" t="s">
        <v>45</v>
      </c>
      <c r="D35" s="20" t="s">
        <v>91</v>
      </c>
      <c r="E35" s="19">
        <v>0.25</v>
      </c>
      <c r="F35" s="19" t="s">
        <v>71</v>
      </c>
      <c r="G35" s="22">
        <v>3.94</v>
      </c>
      <c r="H35" s="23">
        <f t="shared" si="0"/>
        <v>69726.179999999993</v>
      </c>
      <c r="I35" s="22"/>
      <c r="J35" s="27">
        <f t="shared" si="1"/>
        <v>0</v>
      </c>
      <c r="K35" s="27">
        <f>H35*10%*E35</f>
        <v>1743.1544999999999</v>
      </c>
      <c r="L35" s="19"/>
      <c r="M35" s="23"/>
      <c r="N35" s="17"/>
      <c r="O35" s="17"/>
      <c r="P35" s="27">
        <f>(H35*E35)+K35+L35+M35+N35+O35</f>
        <v>19174.699499999999</v>
      </c>
      <c r="Q35" s="43"/>
      <c r="R35" s="43"/>
    </row>
    <row r="36" spans="1:18">
      <c r="A36" s="17">
        <v>25</v>
      </c>
      <c r="B36" s="18" t="s">
        <v>90</v>
      </c>
      <c r="C36" s="19" t="s">
        <v>45</v>
      </c>
      <c r="D36" s="20" t="s">
        <v>92</v>
      </c>
      <c r="E36" s="19">
        <v>0.5</v>
      </c>
      <c r="F36" s="19" t="s">
        <v>71</v>
      </c>
      <c r="G36" s="22">
        <v>3.85</v>
      </c>
      <c r="H36" s="23">
        <v>69726</v>
      </c>
      <c r="I36" s="22"/>
      <c r="J36" s="27">
        <f t="shared" si="1"/>
        <v>0</v>
      </c>
      <c r="K36" s="27">
        <f t="shared" ref="K36:K39" si="4">H36*10%*E36</f>
        <v>3486.3</v>
      </c>
      <c r="L36" s="19"/>
      <c r="M36" s="23"/>
      <c r="N36" s="17"/>
      <c r="O36" s="17"/>
      <c r="P36" s="27">
        <f t="shared" ref="P36:P39" si="5">(H36*E36)+K36+L36+M36+N36+O36</f>
        <v>38349.300000000003</v>
      </c>
      <c r="Q36" s="43"/>
      <c r="R36" s="43"/>
    </row>
    <row r="37" spans="1:18">
      <c r="A37" s="17">
        <v>26</v>
      </c>
      <c r="B37" s="18" t="s">
        <v>90</v>
      </c>
      <c r="C37" s="19" t="s">
        <v>45</v>
      </c>
      <c r="D37" s="20" t="s">
        <v>93</v>
      </c>
      <c r="E37" s="19">
        <v>0.5</v>
      </c>
      <c r="F37" s="19" t="s">
        <v>27</v>
      </c>
      <c r="G37" s="22">
        <v>3.53</v>
      </c>
      <c r="H37" s="23">
        <f t="shared" si="0"/>
        <v>62470.409999999996</v>
      </c>
      <c r="I37" s="22"/>
      <c r="J37" s="27">
        <f t="shared" si="1"/>
        <v>0</v>
      </c>
      <c r="K37" s="27">
        <f t="shared" si="4"/>
        <v>3123.5205000000001</v>
      </c>
      <c r="L37" s="19"/>
      <c r="M37" s="23"/>
      <c r="N37" s="17"/>
      <c r="O37" s="17"/>
      <c r="P37" s="27">
        <f t="shared" si="5"/>
        <v>34358.7255</v>
      </c>
      <c r="Q37" s="43"/>
      <c r="R37" s="43"/>
    </row>
    <row r="38" spans="1:18">
      <c r="A38" s="17">
        <v>27</v>
      </c>
      <c r="B38" s="18" t="s">
        <v>90</v>
      </c>
      <c r="C38" s="19" t="s">
        <v>45</v>
      </c>
      <c r="D38" s="20" t="s">
        <v>94</v>
      </c>
      <c r="E38" s="19">
        <v>0.25</v>
      </c>
      <c r="F38" s="19" t="s">
        <v>71</v>
      </c>
      <c r="G38" s="22">
        <v>3.58</v>
      </c>
      <c r="H38" s="23">
        <f t="shared" si="0"/>
        <v>63355.26</v>
      </c>
      <c r="I38" s="22"/>
      <c r="J38" s="27">
        <f t="shared" si="1"/>
        <v>0</v>
      </c>
      <c r="K38" s="27">
        <f t="shared" si="4"/>
        <v>1583.8815000000002</v>
      </c>
      <c r="L38" s="19"/>
      <c r="M38" s="23"/>
      <c r="N38" s="17"/>
      <c r="O38" s="17"/>
      <c r="P38" s="27">
        <f t="shared" si="5"/>
        <v>17422.696500000002</v>
      </c>
      <c r="Q38" s="43"/>
      <c r="R38" s="43"/>
    </row>
    <row r="39" spans="1:18">
      <c r="A39" s="17">
        <v>28</v>
      </c>
      <c r="B39" s="18" t="s">
        <v>90</v>
      </c>
      <c r="C39" s="19" t="s">
        <v>95</v>
      </c>
      <c r="D39" s="20" t="s">
        <v>96</v>
      </c>
      <c r="E39" s="19">
        <v>0.5</v>
      </c>
      <c r="F39" s="19" t="s">
        <v>27</v>
      </c>
      <c r="G39" s="22">
        <v>3.69</v>
      </c>
      <c r="H39" s="23">
        <f t="shared" si="0"/>
        <v>65301.93</v>
      </c>
      <c r="I39" s="22"/>
      <c r="J39" s="27">
        <f t="shared" si="1"/>
        <v>0</v>
      </c>
      <c r="K39" s="27">
        <f t="shared" si="4"/>
        <v>3265.0965000000001</v>
      </c>
      <c r="L39" s="19"/>
      <c r="M39" s="23"/>
      <c r="N39" s="17"/>
      <c r="O39" s="17"/>
      <c r="P39" s="27">
        <f t="shared" si="5"/>
        <v>35916.061500000003</v>
      </c>
      <c r="Q39" s="43"/>
      <c r="R39" s="43"/>
    </row>
    <row r="40" spans="1:18">
      <c r="A40" s="17">
        <v>29</v>
      </c>
      <c r="B40" s="18" t="s">
        <v>97</v>
      </c>
      <c r="C40" s="19" t="s">
        <v>45</v>
      </c>
      <c r="D40" s="22" t="s">
        <v>98</v>
      </c>
      <c r="E40" s="19">
        <v>1</v>
      </c>
      <c r="F40" s="21" t="s">
        <v>99</v>
      </c>
      <c r="G40" s="22">
        <v>5.3099960445273213</v>
      </c>
      <c r="H40" s="23">
        <f t="shared" si="0"/>
        <v>93971</v>
      </c>
      <c r="I40" s="17"/>
      <c r="J40" s="27">
        <f t="shared" si="1"/>
        <v>0</v>
      </c>
      <c r="K40" s="27">
        <f>H40*10%*E40</f>
        <v>9397.1</v>
      </c>
      <c r="L40" s="19"/>
      <c r="M40" s="23"/>
      <c r="N40" s="17"/>
      <c r="O40" s="17"/>
      <c r="P40" s="27">
        <f>(H40*E40)+K40+L40+M40+N40+O40</f>
        <v>103368.1</v>
      </c>
      <c r="Q40" s="43"/>
      <c r="R40" s="43"/>
    </row>
    <row r="41" spans="1:18">
      <c r="A41" s="17">
        <v>30</v>
      </c>
      <c r="B41" s="18" t="s">
        <v>100</v>
      </c>
      <c r="C41" s="19" t="s">
        <v>45</v>
      </c>
      <c r="D41" s="37" t="s">
        <v>101</v>
      </c>
      <c r="E41" s="19">
        <v>1</v>
      </c>
      <c r="F41" s="19" t="s">
        <v>99</v>
      </c>
      <c r="G41" s="22">
        <v>5.31</v>
      </c>
      <c r="H41" s="23">
        <f t="shared" si="0"/>
        <v>93971.069999999992</v>
      </c>
      <c r="I41" s="17"/>
      <c r="J41" s="27">
        <f t="shared" si="1"/>
        <v>0</v>
      </c>
      <c r="K41" s="27">
        <f t="shared" ref="K41:K55" si="6">H41*10%*E41</f>
        <v>9397.107</v>
      </c>
      <c r="L41" s="19"/>
      <c r="M41" s="23"/>
      <c r="N41" s="17"/>
      <c r="O41" s="17"/>
      <c r="P41" s="27">
        <f t="shared" ref="P41:P55" si="7">(H41*E41)+K41+L41+M41+N41+O41</f>
        <v>103368.177</v>
      </c>
      <c r="Q41" s="43"/>
      <c r="R41" s="43"/>
    </row>
    <row r="42" spans="1:18">
      <c r="A42" s="17">
        <v>31</v>
      </c>
      <c r="B42" s="18" t="s">
        <v>102</v>
      </c>
      <c r="C42" s="19" t="s">
        <v>103</v>
      </c>
      <c r="D42" s="20" t="s">
        <v>104</v>
      </c>
      <c r="E42" s="19">
        <v>0.5</v>
      </c>
      <c r="F42" s="19" t="s">
        <v>105</v>
      </c>
      <c r="G42" s="22">
        <v>4.4000113013505118</v>
      </c>
      <c r="H42" s="23">
        <f t="shared" si="0"/>
        <v>77867</v>
      </c>
      <c r="I42" s="17"/>
      <c r="J42" s="27">
        <f t="shared" si="1"/>
        <v>0</v>
      </c>
      <c r="K42" s="27">
        <f t="shared" si="6"/>
        <v>3893.3500000000004</v>
      </c>
      <c r="L42" s="19"/>
      <c r="M42" s="23"/>
      <c r="N42" s="17"/>
      <c r="O42" s="17"/>
      <c r="P42" s="27">
        <f t="shared" si="7"/>
        <v>42826.85</v>
      </c>
      <c r="Q42" s="43"/>
      <c r="R42" s="43"/>
    </row>
    <row r="43" spans="1:18">
      <c r="A43" s="17">
        <v>32</v>
      </c>
      <c r="B43" s="18" t="s">
        <v>102</v>
      </c>
      <c r="C43" s="19" t="s">
        <v>25</v>
      </c>
      <c r="D43" s="20" t="s">
        <v>104</v>
      </c>
      <c r="E43" s="19">
        <v>0.5</v>
      </c>
      <c r="F43" s="19" t="s">
        <v>27</v>
      </c>
      <c r="G43" s="22">
        <v>3.6499971746623721</v>
      </c>
      <c r="H43" s="23">
        <f t="shared" si="0"/>
        <v>64594</v>
      </c>
      <c r="I43" s="17"/>
      <c r="J43" s="27">
        <f t="shared" si="1"/>
        <v>0</v>
      </c>
      <c r="K43" s="27">
        <f t="shared" si="6"/>
        <v>3229.7000000000003</v>
      </c>
      <c r="L43" s="19"/>
      <c r="M43" s="23"/>
      <c r="N43" s="17"/>
      <c r="O43" s="17"/>
      <c r="P43" s="27">
        <f t="shared" si="7"/>
        <v>35526.699999999997</v>
      </c>
      <c r="Q43" s="43"/>
      <c r="R43" s="43"/>
    </row>
    <row r="44" spans="1:18">
      <c r="A44" s="17">
        <v>33</v>
      </c>
      <c r="B44" s="18" t="s">
        <v>106</v>
      </c>
      <c r="C44" s="19" t="s">
        <v>66</v>
      </c>
      <c r="D44" s="20" t="s">
        <v>52</v>
      </c>
      <c r="E44" s="19">
        <v>0.5</v>
      </c>
      <c r="F44" s="21" t="s">
        <v>107</v>
      </c>
      <c r="G44" s="22">
        <v>5.41</v>
      </c>
      <c r="H44" s="23">
        <f t="shared" si="0"/>
        <v>95740.77</v>
      </c>
      <c r="I44" s="17"/>
      <c r="J44" s="27">
        <f t="shared" si="1"/>
        <v>0</v>
      </c>
      <c r="K44" s="27">
        <f t="shared" si="6"/>
        <v>4787.0385000000006</v>
      </c>
      <c r="L44" s="19"/>
      <c r="M44" s="23"/>
      <c r="N44" s="17"/>
      <c r="O44" s="17"/>
      <c r="P44" s="27">
        <f t="shared" si="7"/>
        <v>52657.423500000004</v>
      </c>
      <c r="Q44" s="43"/>
      <c r="R44" s="43"/>
    </row>
    <row r="45" spans="1:18">
      <c r="A45" s="17">
        <v>34</v>
      </c>
      <c r="B45" s="18" t="s">
        <v>108</v>
      </c>
      <c r="C45" s="19" t="s">
        <v>95</v>
      </c>
      <c r="D45" s="20" t="s">
        <v>109</v>
      </c>
      <c r="E45" s="19">
        <v>1</v>
      </c>
      <c r="F45" s="19" t="s">
        <v>110</v>
      </c>
      <c r="G45" s="22">
        <v>5.3099960445273213</v>
      </c>
      <c r="H45" s="23">
        <f t="shared" si="0"/>
        <v>93971</v>
      </c>
      <c r="I45" s="17"/>
      <c r="J45" s="27">
        <f t="shared" si="1"/>
        <v>0</v>
      </c>
      <c r="K45" s="27">
        <f t="shared" si="6"/>
        <v>9397.1</v>
      </c>
      <c r="L45" s="19">
        <v>5309</v>
      </c>
      <c r="M45" s="23"/>
      <c r="N45" s="17"/>
      <c r="O45" s="17"/>
      <c r="P45" s="27">
        <f t="shared" si="7"/>
        <v>108677.1</v>
      </c>
      <c r="Q45" s="43"/>
      <c r="R45" s="43"/>
    </row>
    <row r="46" spans="1:18">
      <c r="A46" s="17">
        <v>35</v>
      </c>
      <c r="B46" s="18" t="s">
        <v>111</v>
      </c>
      <c r="C46" s="19" t="s">
        <v>45</v>
      </c>
      <c r="D46" s="37" t="s">
        <v>112</v>
      </c>
      <c r="E46" s="19">
        <v>1</v>
      </c>
      <c r="F46" s="19" t="s">
        <v>113</v>
      </c>
      <c r="G46" s="22">
        <v>4.4600214725659715</v>
      </c>
      <c r="H46" s="23">
        <f t="shared" si="0"/>
        <v>78929</v>
      </c>
      <c r="I46" s="17"/>
      <c r="J46" s="27">
        <f t="shared" si="1"/>
        <v>0</v>
      </c>
      <c r="K46" s="27">
        <f t="shared" si="6"/>
        <v>7892.9000000000005</v>
      </c>
      <c r="L46" s="19"/>
      <c r="M46" s="23"/>
      <c r="N46" s="17"/>
      <c r="O46" s="17"/>
      <c r="P46" s="27">
        <f t="shared" si="7"/>
        <v>86821.9</v>
      </c>
      <c r="Q46" s="43"/>
      <c r="R46" s="43"/>
    </row>
    <row r="47" spans="1:18">
      <c r="A47" s="17">
        <v>36</v>
      </c>
      <c r="B47" s="18" t="s">
        <v>114</v>
      </c>
      <c r="C47" s="19" t="s">
        <v>45</v>
      </c>
      <c r="D47" s="20" t="s">
        <v>115</v>
      </c>
      <c r="E47" s="19">
        <v>1</v>
      </c>
      <c r="F47" s="19" t="s">
        <v>113</v>
      </c>
      <c r="G47" s="22">
        <v>4.4600214725659715</v>
      </c>
      <c r="H47" s="23">
        <f t="shared" si="0"/>
        <v>78929</v>
      </c>
      <c r="I47" s="17"/>
      <c r="J47" s="27">
        <f t="shared" si="1"/>
        <v>0</v>
      </c>
      <c r="K47" s="27">
        <f t="shared" si="6"/>
        <v>7892.9000000000005</v>
      </c>
      <c r="L47" s="19"/>
      <c r="M47" s="23"/>
      <c r="N47" s="17"/>
      <c r="O47" s="17"/>
      <c r="P47" s="27">
        <f t="shared" si="7"/>
        <v>86821.9</v>
      </c>
      <c r="Q47" s="43"/>
      <c r="R47" s="43"/>
    </row>
    <row r="48" spans="1:18">
      <c r="A48" s="17">
        <v>37</v>
      </c>
      <c r="B48" s="18" t="s">
        <v>116</v>
      </c>
      <c r="C48" s="19" t="s">
        <v>45</v>
      </c>
      <c r="D48" s="20" t="s">
        <v>117</v>
      </c>
      <c r="E48" s="19">
        <v>1</v>
      </c>
      <c r="F48" s="19" t="s">
        <v>113</v>
      </c>
      <c r="G48" s="22">
        <v>4.8300276883087525</v>
      </c>
      <c r="H48" s="23">
        <f t="shared" si="0"/>
        <v>85477</v>
      </c>
      <c r="I48" s="17"/>
      <c r="J48" s="27">
        <f t="shared" si="1"/>
        <v>0</v>
      </c>
      <c r="K48" s="27">
        <f t="shared" si="6"/>
        <v>8547.7000000000007</v>
      </c>
      <c r="L48" s="19"/>
      <c r="M48" s="23"/>
      <c r="N48" s="17"/>
      <c r="O48" s="17"/>
      <c r="P48" s="27">
        <f t="shared" si="7"/>
        <v>94024.7</v>
      </c>
      <c r="Q48" s="43"/>
      <c r="R48" s="43"/>
    </row>
    <row r="49" spans="1:18">
      <c r="A49" s="17">
        <v>38</v>
      </c>
      <c r="B49" s="18" t="s">
        <v>118</v>
      </c>
      <c r="C49" s="19" t="s">
        <v>45</v>
      </c>
      <c r="D49" s="20" t="s">
        <v>119</v>
      </c>
      <c r="E49" s="19">
        <v>1</v>
      </c>
      <c r="F49" s="21" t="s">
        <v>120</v>
      </c>
      <c r="G49" s="22">
        <v>3.01</v>
      </c>
      <c r="H49" s="23">
        <f t="shared" si="0"/>
        <v>53267.969999999994</v>
      </c>
      <c r="I49" s="17"/>
      <c r="J49" s="27">
        <f t="shared" si="1"/>
        <v>0</v>
      </c>
      <c r="K49" s="27">
        <f t="shared" si="6"/>
        <v>5326.7969999999996</v>
      </c>
      <c r="L49" s="19"/>
      <c r="M49" s="26">
        <f>H49/165.5*88/2</f>
        <v>14161.877220543805</v>
      </c>
      <c r="N49" s="17"/>
      <c r="O49" s="17"/>
      <c r="P49" s="27">
        <f t="shared" si="7"/>
        <v>72756.644220543792</v>
      </c>
      <c r="Q49" s="43"/>
      <c r="R49" s="43"/>
    </row>
    <row r="50" spans="1:18">
      <c r="A50" s="17">
        <v>39</v>
      </c>
      <c r="B50" s="18" t="s">
        <v>118</v>
      </c>
      <c r="C50" s="19" t="s">
        <v>95</v>
      </c>
      <c r="D50" s="20" t="s">
        <v>121</v>
      </c>
      <c r="E50" s="19">
        <v>1</v>
      </c>
      <c r="F50" s="21" t="s">
        <v>120</v>
      </c>
      <c r="G50" s="22">
        <v>3.19</v>
      </c>
      <c r="H50" s="23">
        <f t="shared" si="0"/>
        <v>56453.43</v>
      </c>
      <c r="I50" s="17"/>
      <c r="J50" s="27">
        <f t="shared" si="1"/>
        <v>0</v>
      </c>
      <c r="K50" s="27">
        <f t="shared" si="6"/>
        <v>5645.3430000000008</v>
      </c>
      <c r="L50" s="19"/>
      <c r="M50" s="26">
        <f t="shared" ref="M50:M52" si="8">H50/165.5*88/2</f>
        <v>15008.766888217522</v>
      </c>
      <c r="N50" s="17"/>
      <c r="O50" s="17"/>
      <c r="P50" s="27">
        <f t="shared" si="7"/>
        <v>77107.539888217521</v>
      </c>
      <c r="Q50" s="43"/>
      <c r="R50" s="43"/>
    </row>
    <row r="51" spans="1:18">
      <c r="A51" s="17">
        <v>40</v>
      </c>
      <c r="B51" s="18" t="s">
        <v>118</v>
      </c>
      <c r="C51" s="19" t="s">
        <v>95</v>
      </c>
      <c r="D51" s="20" t="s">
        <v>122</v>
      </c>
      <c r="E51" s="19">
        <v>1</v>
      </c>
      <c r="F51" s="21" t="s">
        <v>120</v>
      </c>
      <c r="G51" s="22">
        <v>3.19</v>
      </c>
      <c r="H51" s="23">
        <f t="shared" si="0"/>
        <v>56453.43</v>
      </c>
      <c r="I51" s="17"/>
      <c r="J51" s="27">
        <f t="shared" si="1"/>
        <v>0</v>
      </c>
      <c r="K51" s="27">
        <f t="shared" si="6"/>
        <v>5645.3430000000008</v>
      </c>
      <c r="L51" s="19"/>
      <c r="M51" s="26">
        <f t="shared" si="8"/>
        <v>15008.766888217522</v>
      </c>
      <c r="N51" s="17"/>
      <c r="O51" s="17"/>
      <c r="P51" s="27">
        <f t="shared" si="7"/>
        <v>77107.539888217521</v>
      </c>
      <c r="Q51" s="43"/>
      <c r="R51" s="43"/>
    </row>
    <row r="52" spans="1:18">
      <c r="A52" s="17">
        <v>41</v>
      </c>
      <c r="B52" s="18" t="s">
        <v>118</v>
      </c>
      <c r="C52" s="19" t="s">
        <v>95</v>
      </c>
      <c r="D52" s="20" t="s">
        <v>123</v>
      </c>
      <c r="E52" s="19">
        <v>1</v>
      </c>
      <c r="F52" s="21" t="s">
        <v>120</v>
      </c>
      <c r="G52" s="22">
        <v>3.08</v>
      </c>
      <c r="H52" s="23">
        <f t="shared" si="0"/>
        <v>54506.76</v>
      </c>
      <c r="I52" s="17"/>
      <c r="J52" s="27">
        <f t="shared" si="1"/>
        <v>0</v>
      </c>
      <c r="K52" s="27">
        <f t="shared" si="6"/>
        <v>5450.6760000000004</v>
      </c>
      <c r="L52" s="19"/>
      <c r="M52" s="26">
        <f t="shared" si="8"/>
        <v>14491.223202416919</v>
      </c>
      <c r="N52" s="17"/>
      <c r="O52" s="17"/>
      <c r="P52" s="27">
        <f t="shared" si="7"/>
        <v>74448.659202416922</v>
      </c>
      <c r="Q52" s="43"/>
      <c r="R52" s="43"/>
    </row>
    <row r="53" spans="1:18">
      <c r="A53" s="17">
        <v>42</v>
      </c>
      <c r="B53" s="38" t="s">
        <v>124</v>
      </c>
      <c r="C53" s="19" t="s">
        <v>95</v>
      </c>
      <c r="D53" s="20" t="s">
        <v>112</v>
      </c>
      <c r="E53" s="19">
        <v>1</v>
      </c>
      <c r="F53" s="19" t="s">
        <v>120</v>
      </c>
      <c r="G53" s="22">
        <v>3.1600271232412274</v>
      </c>
      <c r="H53" s="23">
        <f t="shared" si="0"/>
        <v>55923</v>
      </c>
      <c r="I53" s="17"/>
      <c r="J53" s="27">
        <f t="shared" si="1"/>
        <v>0</v>
      </c>
      <c r="K53" s="27">
        <f t="shared" si="6"/>
        <v>5592.3</v>
      </c>
      <c r="L53" s="19"/>
      <c r="M53" s="23"/>
      <c r="N53" s="17"/>
      <c r="O53" s="17"/>
      <c r="P53" s="27">
        <f t="shared" si="7"/>
        <v>61515.3</v>
      </c>
      <c r="Q53" s="43"/>
      <c r="R53" s="43"/>
    </row>
    <row r="54" spans="1:18">
      <c r="A54" s="17">
        <v>43</v>
      </c>
      <c r="B54" s="18" t="s">
        <v>125</v>
      </c>
      <c r="C54" s="19" t="s">
        <v>95</v>
      </c>
      <c r="D54" s="20" t="s">
        <v>112</v>
      </c>
      <c r="E54" s="19">
        <v>1</v>
      </c>
      <c r="F54" s="19" t="s">
        <v>120</v>
      </c>
      <c r="G54" s="22">
        <v>3.1600271232412274</v>
      </c>
      <c r="H54" s="23">
        <f t="shared" si="0"/>
        <v>55923</v>
      </c>
      <c r="I54" s="17"/>
      <c r="J54" s="27">
        <f t="shared" si="1"/>
        <v>0</v>
      </c>
      <c r="K54" s="27">
        <f t="shared" si="6"/>
        <v>5592.3</v>
      </c>
      <c r="L54" s="19"/>
      <c r="M54" s="23"/>
      <c r="N54" s="17"/>
      <c r="O54" s="17"/>
      <c r="P54" s="27">
        <f t="shared" si="7"/>
        <v>61515.3</v>
      </c>
      <c r="Q54" s="43"/>
      <c r="R54" s="43"/>
    </row>
    <row r="55" spans="1:18">
      <c r="A55" s="17">
        <v>44</v>
      </c>
      <c r="B55" s="38" t="s">
        <v>126</v>
      </c>
      <c r="C55" s="19" t="s">
        <v>45</v>
      </c>
      <c r="D55" s="20" t="s">
        <v>127</v>
      </c>
      <c r="E55" s="19">
        <v>0.5</v>
      </c>
      <c r="F55" s="19" t="s">
        <v>120</v>
      </c>
      <c r="G55" s="22">
        <v>2.98</v>
      </c>
      <c r="H55" s="23">
        <f t="shared" si="0"/>
        <v>52737.06</v>
      </c>
      <c r="I55" s="17"/>
      <c r="J55" s="27">
        <f t="shared" si="1"/>
        <v>0</v>
      </c>
      <c r="K55" s="27">
        <f t="shared" si="6"/>
        <v>2636.8530000000001</v>
      </c>
      <c r="L55" s="19"/>
      <c r="M55" s="23"/>
      <c r="N55" s="17"/>
      <c r="O55" s="17"/>
      <c r="P55" s="27">
        <f t="shared" si="7"/>
        <v>29005.382999999998</v>
      </c>
      <c r="Q55" s="43"/>
      <c r="R55" s="43"/>
    </row>
    <row r="56" spans="1:18">
      <c r="A56" s="39"/>
      <c r="B56" s="39" t="s">
        <v>36</v>
      </c>
      <c r="C56" s="39"/>
      <c r="D56" s="39"/>
      <c r="E56" s="40">
        <f>SUM(E12:E55)</f>
        <v>35.049999999999997</v>
      </c>
      <c r="F56" s="39"/>
      <c r="G56" s="39"/>
      <c r="H56" s="39">
        <f>SUM(H12:H55)</f>
        <v>3300313.9299999997</v>
      </c>
      <c r="I56" s="39"/>
      <c r="J56" s="39">
        <f t="shared" ref="J56:P56" si="9">SUM(J12:J55)</f>
        <v>2731529.49</v>
      </c>
      <c r="K56" s="39">
        <f t="shared" si="9"/>
        <v>340211.80327500007</v>
      </c>
      <c r="L56" s="39">
        <f t="shared" si="9"/>
        <v>5309</v>
      </c>
      <c r="M56" s="41">
        <f t="shared" si="9"/>
        <v>58670.634199395769</v>
      </c>
      <c r="N56" s="39">
        <f t="shared" si="9"/>
        <v>0</v>
      </c>
      <c r="O56" s="39">
        <f t="shared" si="9"/>
        <v>17697</v>
      </c>
      <c r="P56" s="41">
        <f t="shared" si="9"/>
        <v>3824006.4702243963</v>
      </c>
      <c r="Q56" s="43"/>
      <c r="R56" s="43"/>
    </row>
    <row r="57" spans="1:18">
      <c r="A57" s="17">
        <v>45</v>
      </c>
      <c r="B57" s="18" t="s">
        <v>128</v>
      </c>
      <c r="C57" s="17"/>
      <c r="D57" s="17"/>
      <c r="E57" s="19">
        <v>2</v>
      </c>
      <c r="F57" s="21">
        <v>1</v>
      </c>
      <c r="G57" s="22">
        <v>2.7700175170932928</v>
      </c>
      <c r="H57" s="34">
        <f>17697*G57</f>
        <v>49021</v>
      </c>
      <c r="I57" s="17"/>
      <c r="J57" s="17"/>
      <c r="K57" s="27">
        <f>H57*E57*10%</f>
        <v>9804.2000000000007</v>
      </c>
      <c r="L57" s="19"/>
      <c r="M57" s="23"/>
      <c r="N57" s="19"/>
      <c r="O57" s="17"/>
      <c r="P57" s="27">
        <f>(H57*E57)+K57+L57+M57+N57+O57</f>
        <v>107846.2</v>
      </c>
      <c r="Q57" s="43"/>
      <c r="R57" s="43"/>
    </row>
    <row r="58" spans="1:18">
      <c r="A58" s="17">
        <v>46</v>
      </c>
      <c r="B58" s="18" t="s">
        <v>129</v>
      </c>
      <c r="C58" s="17"/>
      <c r="D58" s="17"/>
      <c r="E58" s="19">
        <v>0.5</v>
      </c>
      <c r="F58" s="21">
        <v>1</v>
      </c>
      <c r="G58" s="22">
        <v>2.7700175170932928</v>
      </c>
      <c r="H58" s="34">
        <f t="shared" ref="H58:H69" si="10">17697*G58</f>
        <v>49021</v>
      </c>
      <c r="I58" s="17"/>
      <c r="J58" s="17"/>
      <c r="K58" s="27">
        <f t="shared" ref="K58:K69" si="11">H58*E58*10%</f>
        <v>2451.0500000000002</v>
      </c>
      <c r="L58" s="19"/>
      <c r="M58" s="23"/>
      <c r="N58" s="19"/>
      <c r="O58" s="17"/>
      <c r="P58" s="27">
        <f t="shared" ref="P58:P69" si="12">(H58*E58)+K58+L58+M58+N58+O58</f>
        <v>26961.55</v>
      </c>
      <c r="Q58" s="43"/>
      <c r="R58" s="43"/>
    </row>
    <row r="59" spans="1:18">
      <c r="A59" s="17">
        <v>47</v>
      </c>
      <c r="B59" s="18" t="s">
        <v>130</v>
      </c>
      <c r="C59" s="17"/>
      <c r="D59" s="17"/>
      <c r="E59" s="19">
        <v>2</v>
      </c>
      <c r="F59" s="21">
        <v>1</v>
      </c>
      <c r="G59" s="22">
        <v>2.7700175170932928</v>
      </c>
      <c r="H59" s="34">
        <f t="shared" si="10"/>
        <v>49021</v>
      </c>
      <c r="I59" s="17"/>
      <c r="J59" s="17"/>
      <c r="K59" s="27">
        <f t="shared" si="11"/>
        <v>9804.2000000000007</v>
      </c>
      <c r="L59" s="19"/>
      <c r="M59" s="23"/>
      <c r="N59" s="19"/>
      <c r="O59" s="17"/>
      <c r="P59" s="27">
        <f t="shared" si="12"/>
        <v>107846.2</v>
      </c>
      <c r="Q59" s="43"/>
      <c r="R59" s="43"/>
    </row>
    <row r="60" spans="1:18">
      <c r="A60" s="17">
        <v>48</v>
      </c>
      <c r="B60" s="18" t="s">
        <v>131</v>
      </c>
      <c r="C60" s="17"/>
      <c r="D60" s="17"/>
      <c r="E60" s="19">
        <v>6</v>
      </c>
      <c r="F60" s="21">
        <v>1</v>
      </c>
      <c r="G60" s="22">
        <v>2.7700175170932928</v>
      </c>
      <c r="H60" s="34">
        <f t="shared" si="10"/>
        <v>49021</v>
      </c>
      <c r="I60" s="17"/>
      <c r="J60" s="17"/>
      <c r="K60" s="27">
        <f t="shared" si="11"/>
        <v>29412.600000000002</v>
      </c>
      <c r="L60" s="19"/>
      <c r="M60" s="26">
        <f>H60/165.5*88/2*E60</f>
        <v>78196.640483383686</v>
      </c>
      <c r="N60" s="26">
        <f>H60/165.5*28/2</f>
        <v>4146.7915407854989</v>
      </c>
      <c r="O60" s="17"/>
      <c r="P60" s="27">
        <f t="shared" si="12"/>
        <v>405882.03202416917</v>
      </c>
      <c r="Q60" s="43"/>
      <c r="R60" s="43"/>
    </row>
    <row r="61" spans="1:18">
      <c r="A61" s="17">
        <v>49</v>
      </c>
      <c r="B61" s="18" t="s">
        <v>132</v>
      </c>
      <c r="C61" s="17"/>
      <c r="D61" s="17"/>
      <c r="E61" s="19">
        <v>1</v>
      </c>
      <c r="F61" s="19" t="s">
        <v>133</v>
      </c>
      <c r="G61" s="22">
        <v>2.8100242979035994</v>
      </c>
      <c r="H61" s="34">
        <f t="shared" si="10"/>
        <v>49729</v>
      </c>
      <c r="I61" s="17"/>
      <c r="J61" s="17"/>
      <c r="K61" s="27">
        <f t="shared" si="11"/>
        <v>4972.9000000000005</v>
      </c>
      <c r="L61" s="19"/>
      <c r="M61" s="23"/>
      <c r="N61" s="19"/>
      <c r="O61" s="17"/>
      <c r="P61" s="27">
        <f t="shared" si="12"/>
        <v>54701.9</v>
      </c>
      <c r="Q61" s="43"/>
      <c r="R61" s="43"/>
    </row>
    <row r="62" spans="1:18">
      <c r="A62" s="17">
        <v>50</v>
      </c>
      <c r="B62" s="18" t="s">
        <v>134</v>
      </c>
      <c r="C62" s="17"/>
      <c r="D62" s="17"/>
      <c r="E62" s="19">
        <v>6.75</v>
      </c>
      <c r="F62" s="21">
        <v>2</v>
      </c>
      <c r="G62" s="22">
        <v>2.8100242979035994</v>
      </c>
      <c r="H62" s="34">
        <f t="shared" si="10"/>
        <v>49729</v>
      </c>
      <c r="I62" s="17"/>
      <c r="J62" s="17"/>
      <c r="K62" s="27">
        <f t="shared" si="11"/>
        <v>33567.075000000004</v>
      </c>
      <c r="L62" s="23">
        <f>17697*30%*E62</f>
        <v>35836.424999999996</v>
      </c>
      <c r="M62" s="23"/>
      <c r="N62" s="19"/>
      <c r="O62" s="17"/>
      <c r="P62" s="27">
        <f t="shared" si="12"/>
        <v>405074.25</v>
      </c>
      <c r="Q62" s="43"/>
      <c r="R62" s="43"/>
    </row>
    <row r="63" spans="1:18">
      <c r="A63" s="17">
        <v>51</v>
      </c>
      <c r="B63" s="18" t="s">
        <v>135</v>
      </c>
      <c r="C63" s="17"/>
      <c r="D63" s="17"/>
      <c r="E63" s="19">
        <v>6.66</v>
      </c>
      <c r="F63" s="21">
        <v>2</v>
      </c>
      <c r="G63" s="22">
        <v>2.8100242979035994</v>
      </c>
      <c r="H63" s="34">
        <f t="shared" si="10"/>
        <v>49729</v>
      </c>
      <c r="I63" s="17"/>
      <c r="J63" s="17"/>
      <c r="K63" s="27">
        <f t="shared" si="11"/>
        <v>33119.514000000003</v>
      </c>
      <c r="L63" s="23">
        <f>17697*20%*E63</f>
        <v>23572.404000000002</v>
      </c>
      <c r="M63" s="23"/>
      <c r="N63" s="19"/>
      <c r="O63" s="17"/>
      <c r="P63" s="27">
        <f t="shared" si="12"/>
        <v>387887.05800000002</v>
      </c>
      <c r="Q63" s="43"/>
      <c r="R63" s="43"/>
    </row>
    <row r="64" spans="1:18">
      <c r="A64" s="17">
        <v>52</v>
      </c>
      <c r="B64" s="18" t="s">
        <v>136</v>
      </c>
      <c r="C64" s="17"/>
      <c r="D64" s="17"/>
      <c r="E64" s="19">
        <v>1</v>
      </c>
      <c r="F64" s="21" t="s">
        <v>133</v>
      </c>
      <c r="G64" s="22">
        <v>2.8100242979035994</v>
      </c>
      <c r="H64" s="34">
        <f t="shared" si="10"/>
        <v>49729</v>
      </c>
      <c r="I64" s="17"/>
      <c r="J64" s="17"/>
      <c r="K64" s="27">
        <f t="shared" si="11"/>
        <v>4972.9000000000005</v>
      </c>
      <c r="L64" s="26">
        <f>17697*30%</f>
        <v>5309.0999999999995</v>
      </c>
      <c r="M64" s="23"/>
      <c r="N64" s="19"/>
      <c r="O64" s="17"/>
      <c r="P64" s="27">
        <f t="shared" si="12"/>
        <v>60011</v>
      </c>
      <c r="Q64" s="43"/>
      <c r="R64" s="43"/>
    </row>
    <row r="65" spans="1:18">
      <c r="A65" s="17">
        <v>53</v>
      </c>
      <c r="B65" s="18" t="s">
        <v>137</v>
      </c>
      <c r="C65" s="17"/>
      <c r="D65" s="17"/>
      <c r="E65" s="19">
        <v>1</v>
      </c>
      <c r="F65" s="21" t="s">
        <v>133</v>
      </c>
      <c r="G65" s="22">
        <v>2.8100242979035994</v>
      </c>
      <c r="H65" s="34">
        <f t="shared" si="10"/>
        <v>49729</v>
      </c>
      <c r="I65" s="17"/>
      <c r="J65" s="17"/>
      <c r="K65" s="27">
        <f t="shared" si="11"/>
        <v>4972.9000000000005</v>
      </c>
      <c r="L65" s="35"/>
      <c r="M65" s="23"/>
      <c r="N65" s="19"/>
      <c r="O65" s="17"/>
      <c r="P65" s="27">
        <f t="shared" si="12"/>
        <v>54701.9</v>
      </c>
      <c r="Q65" s="43"/>
      <c r="R65" s="43"/>
    </row>
    <row r="66" spans="1:18">
      <c r="A66" s="17">
        <v>54</v>
      </c>
      <c r="B66" s="18" t="s">
        <v>138</v>
      </c>
      <c r="C66" s="17"/>
      <c r="D66" s="17"/>
      <c r="E66" s="19">
        <v>2</v>
      </c>
      <c r="F66" s="21" t="s">
        <v>133</v>
      </c>
      <c r="G66" s="22">
        <v>2.8100242979035994</v>
      </c>
      <c r="H66" s="34">
        <f t="shared" si="10"/>
        <v>49729</v>
      </c>
      <c r="I66" s="17"/>
      <c r="J66" s="17"/>
      <c r="K66" s="27">
        <f t="shared" si="11"/>
        <v>9945.8000000000011</v>
      </c>
      <c r="L66" s="26">
        <f>17697*30%*E66</f>
        <v>10618.199999999999</v>
      </c>
      <c r="M66" s="23"/>
      <c r="N66" s="19"/>
      <c r="O66" s="17"/>
      <c r="P66" s="27">
        <f t="shared" si="12"/>
        <v>120022</v>
      </c>
      <c r="Q66" s="43"/>
      <c r="R66" s="43"/>
    </row>
    <row r="67" spans="1:18">
      <c r="A67" s="17">
        <v>55</v>
      </c>
      <c r="B67" s="18" t="s">
        <v>139</v>
      </c>
      <c r="C67" s="17"/>
      <c r="D67" s="17"/>
      <c r="E67" s="19">
        <v>0.5</v>
      </c>
      <c r="F67" s="21" t="s">
        <v>133</v>
      </c>
      <c r="G67" s="22">
        <v>2.8100242979035994</v>
      </c>
      <c r="H67" s="34">
        <f t="shared" si="10"/>
        <v>49729</v>
      </c>
      <c r="I67" s="17"/>
      <c r="J67" s="17"/>
      <c r="K67" s="27">
        <f t="shared" si="11"/>
        <v>2486.4500000000003</v>
      </c>
      <c r="L67" s="35"/>
      <c r="M67" s="23"/>
      <c r="N67" s="19"/>
      <c r="O67" s="17"/>
      <c r="P67" s="27">
        <f t="shared" si="12"/>
        <v>27350.95</v>
      </c>
      <c r="Q67" s="43"/>
      <c r="R67" s="43"/>
    </row>
    <row r="68" spans="1:18">
      <c r="A68" s="17">
        <v>56</v>
      </c>
      <c r="B68" s="18" t="s">
        <v>140</v>
      </c>
      <c r="C68" s="17"/>
      <c r="D68" s="17"/>
      <c r="E68" s="19">
        <v>3</v>
      </c>
      <c r="F68" s="21">
        <v>3</v>
      </c>
      <c r="G68" s="22">
        <v>2.8399728767587726</v>
      </c>
      <c r="H68" s="34">
        <f>17697*G68</f>
        <v>50259</v>
      </c>
      <c r="I68" s="17"/>
      <c r="J68" s="17"/>
      <c r="K68" s="27">
        <f t="shared" si="11"/>
        <v>15077.7</v>
      </c>
      <c r="L68" s="35"/>
      <c r="M68" s="23"/>
      <c r="N68" s="19"/>
      <c r="O68" s="17"/>
      <c r="P68" s="27">
        <f t="shared" si="12"/>
        <v>165854.70000000001</v>
      </c>
      <c r="Q68" s="43"/>
      <c r="R68" s="43"/>
    </row>
    <row r="69" spans="1:18">
      <c r="A69" s="17">
        <v>57</v>
      </c>
      <c r="B69" s="18" t="s">
        <v>34</v>
      </c>
      <c r="C69" s="19" t="s">
        <v>95</v>
      </c>
      <c r="D69" s="17"/>
      <c r="E69" s="19">
        <v>3.5</v>
      </c>
      <c r="F69" s="21" t="s">
        <v>141</v>
      </c>
      <c r="G69" s="22">
        <v>2.9199864383793863</v>
      </c>
      <c r="H69" s="34">
        <f t="shared" si="10"/>
        <v>51675</v>
      </c>
      <c r="I69" s="17"/>
      <c r="J69" s="17"/>
      <c r="K69" s="27">
        <f t="shared" si="11"/>
        <v>18086.25</v>
      </c>
      <c r="L69" s="26">
        <f>17697*30%*E69</f>
        <v>18581.849999999999</v>
      </c>
      <c r="M69" s="23"/>
      <c r="N69" s="19"/>
      <c r="O69" s="17"/>
      <c r="P69" s="27">
        <f t="shared" si="12"/>
        <v>217530.6</v>
      </c>
      <c r="Q69" s="43"/>
      <c r="R69" s="43"/>
    </row>
    <row r="70" spans="1:18">
      <c r="A70" s="28"/>
      <c r="B70" s="42" t="s">
        <v>36</v>
      </c>
      <c r="C70" s="28"/>
      <c r="D70" s="28"/>
      <c r="E70" s="28">
        <f>SUM(E57:E69)</f>
        <v>35.909999999999997</v>
      </c>
      <c r="F70" s="28"/>
      <c r="G70" s="28"/>
      <c r="H70" s="28">
        <f>SUM(H57:H69)</f>
        <v>646121</v>
      </c>
      <c r="I70" s="28"/>
      <c r="J70" s="28"/>
      <c r="K70" s="30">
        <f>SUM(K57:K69)</f>
        <v>178673.53900000002</v>
      </c>
      <c r="L70" s="30">
        <f t="shared" ref="L70:O70" si="13">SUM(L57:L69)</f>
        <v>93917.978999999992</v>
      </c>
      <c r="M70" s="30">
        <f t="shared" si="13"/>
        <v>78196.640483383686</v>
      </c>
      <c r="N70" s="30">
        <f t="shared" si="13"/>
        <v>4146.7915407854989</v>
      </c>
      <c r="O70" s="30">
        <f t="shared" si="13"/>
        <v>0</v>
      </c>
      <c r="P70" s="41">
        <f>SUM(P57:P69)</f>
        <v>2141670.3400241691</v>
      </c>
    </row>
    <row r="71" spans="1:18">
      <c r="A71" s="25"/>
      <c r="B71" s="28" t="s">
        <v>142</v>
      </c>
      <c r="C71" s="28"/>
      <c r="D71" s="28"/>
      <c r="E71" s="29">
        <f>E56+E70</f>
        <v>70.959999999999994</v>
      </c>
      <c r="F71" s="28"/>
      <c r="G71" s="28"/>
      <c r="H71" s="28">
        <f>H56+H70</f>
        <v>3946434.9299999997</v>
      </c>
      <c r="I71" s="28">
        <f t="shared" ref="I71:P71" si="14">I56+I70</f>
        <v>0</v>
      </c>
      <c r="J71" s="28">
        <f t="shared" si="14"/>
        <v>2731529.49</v>
      </c>
      <c r="K71" s="30">
        <f t="shared" si="14"/>
        <v>518885.34227500006</v>
      </c>
      <c r="L71" s="30">
        <f t="shared" si="14"/>
        <v>99226.978999999992</v>
      </c>
      <c r="M71" s="30">
        <f t="shared" si="14"/>
        <v>136867.27468277945</v>
      </c>
      <c r="N71" s="30">
        <f t="shared" si="14"/>
        <v>4146.7915407854989</v>
      </c>
      <c r="O71" s="28">
        <f t="shared" si="14"/>
        <v>17697</v>
      </c>
      <c r="P71" s="41">
        <f t="shared" si="14"/>
        <v>5965676.8102485649</v>
      </c>
    </row>
    <row r="73" spans="1:18">
      <c r="B73" s="31" t="s">
        <v>37</v>
      </c>
      <c r="D73" s="31"/>
      <c r="E73" s="31"/>
      <c r="F73" s="31"/>
      <c r="G73" s="31"/>
      <c r="H73" s="31"/>
      <c r="I73" s="31"/>
      <c r="J73" s="31"/>
      <c r="K73" s="32" t="s">
        <v>38</v>
      </c>
      <c r="L73" s="32"/>
      <c r="M73" s="31" t="s">
        <v>39</v>
      </c>
    </row>
    <row r="74" spans="1:18">
      <c r="B74" s="31"/>
      <c r="D74" s="31"/>
      <c r="E74" s="31"/>
      <c r="F74" s="31"/>
      <c r="G74" s="31"/>
      <c r="H74" s="31"/>
      <c r="I74" s="31"/>
      <c r="J74" s="31"/>
      <c r="K74" s="31"/>
      <c r="M74" s="31"/>
    </row>
    <row r="75" spans="1:18">
      <c r="B75" s="31" t="s">
        <v>40</v>
      </c>
      <c r="D75" s="31"/>
      <c r="E75" s="31"/>
      <c r="F75" s="31"/>
      <c r="G75" s="31"/>
      <c r="H75" s="31"/>
      <c r="I75" s="31"/>
      <c r="J75" s="31"/>
      <c r="K75" s="33" t="s">
        <v>41</v>
      </c>
      <c r="L75" s="33"/>
      <c r="M75" s="31" t="s">
        <v>42</v>
      </c>
    </row>
  </sheetData>
  <mergeCells count="21">
    <mergeCell ref="P9:P10"/>
    <mergeCell ref="K73:L73"/>
    <mergeCell ref="K75:L75"/>
    <mergeCell ref="G9:G10"/>
    <mergeCell ref="H9:H10"/>
    <mergeCell ref="I9:I10"/>
    <mergeCell ref="J9:J10"/>
    <mergeCell ref="K9:K10"/>
    <mergeCell ref="L9:O9"/>
    <mergeCell ref="A9:A10"/>
    <mergeCell ref="B9:B10"/>
    <mergeCell ref="C9:C10"/>
    <mergeCell ref="D9:D10"/>
    <mergeCell ref="E9:E10"/>
    <mergeCell ref="F9:F10"/>
    <mergeCell ref="K1:N1"/>
    <mergeCell ref="J2:P2"/>
    <mergeCell ref="J3:P3"/>
    <mergeCell ref="J4:P4"/>
    <mergeCell ref="D5:K5"/>
    <mergeCell ref="D8:K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V85"/>
  <sheetViews>
    <sheetView tabSelected="1" topLeftCell="F1" workbookViewId="0">
      <selection activeCell="Z89" sqref="Z89"/>
    </sheetView>
  </sheetViews>
  <sheetFormatPr defaultColWidth="9.140625" defaultRowHeight="10.5"/>
  <cols>
    <col min="1" max="1" width="8.140625" style="44" customWidth="1"/>
    <col min="2" max="2" width="3.85546875" style="45" customWidth="1"/>
    <col min="3" max="3" width="3.7109375" style="45" customWidth="1"/>
    <col min="4" max="4" width="3.140625" style="45" customWidth="1"/>
    <col min="5" max="5" width="6" style="46" customWidth="1"/>
    <col min="6" max="6" width="5.28515625" style="45" customWidth="1"/>
    <col min="7" max="7" width="6.140625" style="45" customWidth="1"/>
    <col min="8" max="8" width="3.85546875" style="45" customWidth="1"/>
    <col min="9" max="9" width="3.42578125" style="46" customWidth="1"/>
    <col min="10" max="10" width="3.5703125" style="46" customWidth="1"/>
    <col min="11" max="11" width="4" style="46" customWidth="1"/>
    <col min="12" max="12" width="3.42578125" style="46" customWidth="1"/>
    <col min="13" max="13" width="7.28515625" style="46" customWidth="1"/>
    <col min="14" max="17" width="8.140625" style="47" customWidth="1"/>
    <col min="18" max="18" width="8.140625" style="48" customWidth="1"/>
    <col min="19" max="20" width="8.140625" style="49" customWidth="1"/>
    <col min="21" max="21" width="8.140625" style="47" customWidth="1"/>
    <col min="22" max="22" width="8.140625" style="180" customWidth="1"/>
    <col min="23" max="25" width="8.140625" style="46" customWidth="1"/>
    <col min="26" max="26" width="8.140625" style="181" customWidth="1"/>
    <col min="27" max="27" width="8.140625" style="184" customWidth="1"/>
    <col min="28" max="28" width="8.140625" style="46" customWidth="1"/>
    <col min="29" max="30" width="8.140625" style="44" customWidth="1"/>
    <col min="31" max="31" width="8.140625" style="183" customWidth="1"/>
    <col min="32" max="32" width="8.140625" style="44" customWidth="1"/>
    <col min="33" max="33" width="6" style="44" customWidth="1"/>
    <col min="34" max="34" width="6.85546875" style="184" customWidth="1"/>
    <col min="35" max="43" width="9.140625" style="55"/>
    <col min="44" max="74" width="9.140625" style="60"/>
    <col min="75" max="16384" width="9.140625" style="61"/>
  </cols>
  <sheetData>
    <row r="1" spans="1:43" ht="12.75">
      <c r="V1" s="50"/>
      <c r="W1" s="51"/>
      <c r="X1" s="52"/>
      <c r="Y1" s="53"/>
      <c r="Z1" s="54"/>
      <c r="AA1" s="55"/>
      <c r="AB1" s="51"/>
      <c r="AC1" s="56" t="s">
        <v>143</v>
      </c>
      <c r="AD1" s="56" t="s">
        <v>144</v>
      </c>
      <c r="AE1" s="57" t="s">
        <v>145</v>
      </c>
      <c r="AF1" s="51" t="s">
        <v>146</v>
      </c>
      <c r="AG1" s="58" t="s">
        <v>142</v>
      </c>
      <c r="AH1" s="59"/>
    </row>
    <row r="2" spans="1:43" ht="12.75">
      <c r="V2" s="50"/>
      <c r="W2" s="62" t="s">
        <v>147</v>
      </c>
      <c r="X2" s="63"/>
      <c r="Y2" s="64"/>
      <c r="Z2" s="65"/>
      <c r="AA2" s="66"/>
      <c r="AB2" s="67"/>
      <c r="AC2" s="68">
        <v>9</v>
      </c>
      <c r="AD2" s="68">
        <v>10</v>
      </c>
      <c r="AE2" s="69">
        <v>4</v>
      </c>
      <c r="AF2" s="70"/>
      <c r="AG2" s="69">
        <f t="shared" ref="AG2:AG7" si="0">AC2+AD2+AE2</f>
        <v>23</v>
      </c>
      <c r="AH2" s="71"/>
    </row>
    <row r="3" spans="1:43" ht="15" customHeight="1">
      <c r="A3" s="61"/>
      <c r="B3" s="61"/>
      <c r="C3" s="61"/>
      <c r="D3" s="61"/>
      <c r="E3" s="61"/>
      <c r="F3" s="72" t="s">
        <v>148</v>
      </c>
      <c r="G3" s="72"/>
      <c r="H3" s="72"/>
      <c r="I3" s="72"/>
      <c r="J3" s="72"/>
      <c r="K3" s="72"/>
      <c r="L3" s="75"/>
      <c r="M3" s="75"/>
      <c r="V3" s="50"/>
      <c r="W3" s="52" t="s">
        <v>149</v>
      </c>
      <c r="X3" s="53"/>
      <c r="Y3" s="54"/>
      <c r="Z3" s="76"/>
      <c r="AA3" s="55"/>
      <c r="AB3" s="51"/>
      <c r="AC3" s="53">
        <v>8</v>
      </c>
      <c r="AD3" s="53">
        <v>10</v>
      </c>
      <c r="AE3" s="52">
        <v>4</v>
      </c>
      <c r="AF3" s="77"/>
      <c r="AG3" s="58">
        <f t="shared" si="0"/>
        <v>22</v>
      </c>
      <c r="AH3" s="71"/>
    </row>
    <row r="4" spans="1:43" ht="14.25">
      <c r="A4" s="185" t="s">
        <v>150</v>
      </c>
      <c r="B4" s="185"/>
      <c r="C4" s="185"/>
      <c r="D4" s="185"/>
      <c r="E4" s="185"/>
      <c r="F4" s="185"/>
      <c r="G4" s="73"/>
      <c r="H4" s="73"/>
      <c r="I4" s="74"/>
      <c r="J4" s="74"/>
      <c r="K4" s="74"/>
      <c r="L4" s="75"/>
      <c r="M4" s="75"/>
      <c r="V4" s="50"/>
      <c r="W4" s="52" t="s">
        <v>151</v>
      </c>
      <c r="X4" s="53"/>
      <c r="Y4" s="54"/>
      <c r="Z4" s="76"/>
      <c r="AA4" s="55"/>
      <c r="AB4" s="51"/>
      <c r="AC4" s="53">
        <v>1</v>
      </c>
      <c r="AD4" s="53"/>
      <c r="AE4" s="52"/>
      <c r="AF4" s="77"/>
      <c r="AG4" s="58">
        <f t="shared" si="0"/>
        <v>1</v>
      </c>
      <c r="AH4" s="71"/>
    </row>
    <row r="5" spans="1:43" ht="17.25" customHeight="1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78"/>
      <c r="M5" s="78"/>
      <c r="V5" s="50"/>
      <c r="W5" s="62" t="s">
        <v>152</v>
      </c>
      <c r="X5" s="63"/>
      <c r="Y5" s="64"/>
      <c r="Z5" s="65"/>
      <c r="AA5" s="66"/>
      <c r="AB5" s="67"/>
      <c r="AC5" s="63">
        <f>AC6+AC7</f>
        <v>115</v>
      </c>
      <c r="AD5" s="63">
        <f t="shared" ref="AD5:AE5" si="1">AD6+AD7</f>
        <v>143</v>
      </c>
      <c r="AE5" s="63">
        <f t="shared" si="1"/>
        <v>29</v>
      </c>
      <c r="AF5" s="70"/>
      <c r="AG5" s="69">
        <f t="shared" si="0"/>
        <v>287</v>
      </c>
      <c r="AH5" s="71"/>
    </row>
    <row r="6" spans="1:43" ht="14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74"/>
      <c r="L6" s="75"/>
      <c r="M6" s="75"/>
      <c r="V6" s="50"/>
      <c r="W6" s="52" t="s">
        <v>153</v>
      </c>
      <c r="X6" s="53"/>
      <c r="Y6" s="54"/>
      <c r="Z6" s="76"/>
      <c r="AA6" s="55"/>
      <c r="AB6" s="51"/>
      <c r="AC6" s="53">
        <v>106</v>
      </c>
      <c r="AD6" s="53">
        <v>143</v>
      </c>
      <c r="AE6" s="52">
        <v>29</v>
      </c>
      <c r="AF6" s="77"/>
      <c r="AG6" s="58">
        <f t="shared" si="0"/>
        <v>278</v>
      </c>
      <c r="AH6" s="71"/>
    </row>
    <row r="7" spans="1:43" ht="12.75">
      <c r="A7" s="79"/>
      <c r="B7" s="80"/>
      <c r="C7" s="80"/>
      <c r="D7" s="80"/>
      <c r="E7" s="80"/>
      <c r="V7" s="50"/>
      <c r="W7" s="52" t="s">
        <v>154</v>
      </c>
      <c r="X7" s="53"/>
      <c r="Y7" s="54"/>
      <c r="Z7" s="76"/>
      <c r="AA7" s="55"/>
      <c r="AB7" s="51"/>
      <c r="AC7" s="53">
        <v>9</v>
      </c>
      <c r="AD7" s="53"/>
      <c r="AE7" s="52"/>
      <c r="AF7" s="77"/>
      <c r="AG7" s="58">
        <f t="shared" si="0"/>
        <v>9</v>
      </c>
      <c r="AH7" s="71"/>
    </row>
    <row r="8" spans="1:43" ht="12.75">
      <c r="A8" s="79"/>
      <c r="B8" s="81"/>
      <c r="C8" s="81"/>
      <c r="V8" s="50"/>
      <c r="W8" s="62" t="s">
        <v>155</v>
      </c>
      <c r="X8" s="63"/>
      <c r="Y8" s="64"/>
      <c r="Z8" s="65"/>
      <c r="AA8" s="66"/>
      <c r="AB8" s="67"/>
      <c r="AC8" s="63">
        <f>AC9+AC10+AC11</f>
        <v>223</v>
      </c>
      <c r="AD8" s="63">
        <f t="shared" ref="AD8:AF8" si="2">AD9+AD10+AD11</f>
        <v>346</v>
      </c>
      <c r="AE8" s="63">
        <f t="shared" si="2"/>
        <v>138</v>
      </c>
      <c r="AF8" s="63">
        <f t="shared" si="2"/>
        <v>50</v>
      </c>
      <c r="AG8" s="63">
        <f>AG9+AG10+AG11</f>
        <v>757</v>
      </c>
      <c r="AH8" s="71"/>
      <c r="AK8" s="82"/>
    </row>
    <row r="9" spans="1:43" ht="12.75">
      <c r="A9" s="79"/>
      <c r="B9" s="81"/>
      <c r="C9" s="81"/>
      <c r="V9" s="50"/>
      <c r="W9" s="52" t="s">
        <v>156</v>
      </c>
      <c r="X9" s="53"/>
      <c r="Y9" s="54"/>
      <c r="Z9" s="76"/>
      <c r="AA9" s="55"/>
      <c r="AB9" s="51"/>
      <c r="AC9" s="53">
        <v>214</v>
      </c>
      <c r="AD9" s="53">
        <v>346</v>
      </c>
      <c r="AE9" s="52">
        <v>138</v>
      </c>
      <c r="AF9" s="52">
        <v>50</v>
      </c>
      <c r="AG9" s="58">
        <f>AC9+AD9+AE9+AF9</f>
        <v>748</v>
      </c>
      <c r="AH9" s="71"/>
    </row>
    <row r="10" spans="1:43" ht="12.75" customHeight="1">
      <c r="A10" s="79"/>
      <c r="B10" s="81"/>
      <c r="C10" s="81"/>
      <c r="D10" s="83" t="s">
        <v>157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50"/>
      <c r="W10" s="52" t="s">
        <v>158</v>
      </c>
      <c r="X10" s="53"/>
      <c r="Y10" s="54"/>
      <c r="Z10" s="76"/>
      <c r="AA10" s="55"/>
      <c r="AB10" s="51"/>
      <c r="AC10" s="53">
        <v>3</v>
      </c>
      <c r="AD10" s="53"/>
      <c r="AE10" s="52"/>
      <c r="AF10" s="77"/>
      <c r="AG10" s="58">
        <f>AC10+AD10+AE10+AF10</f>
        <v>3</v>
      </c>
      <c r="AH10" s="71"/>
    </row>
    <row r="11" spans="1:43" ht="12" customHeight="1">
      <c r="A11" s="79"/>
      <c r="B11" s="81"/>
      <c r="C11" s="81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50"/>
      <c r="W11" s="52" t="s">
        <v>159</v>
      </c>
      <c r="X11" s="53"/>
      <c r="Y11" s="54"/>
      <c r="Z11" s="76"/>
      <c r="AA11" s="55"/>
      <c r="AB11" s="51"/>
      <c r="AC11" s="53">
        <v>6</v>
      </c>
      <c r="AD11" s="53"/>
      <c r="AE11" s="52"/>
      <c r="AF11" s="77"/>
      <c r="AG11" s="58">
        <f>AC11+AD11+AE11+AF11</f>
        <v>6</v>
      </c>
      <c r="AH11" s="71"/>
    </row>
    <row r="12" spans="1:43" ht="15.75">
      <c r="A12" s="79"/>
      <c r="B12" s="80"/>
      <c r="C12" s="80"/>
      <c r="D12" s="83" t="s">
        <v>5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62" t="s">
        <v>160</v>
      </c>
      <c r="X12" s="63"/>
      <c r="Y12" s="64"/>
      <c r="Z12" s="65"/>
      <c r="AA12" s="66"/>
      <c r="AB12" s="67"/>
      <c r="AC12" s="85">
        <f>AC13+AC14+AC15</f>
        <v>12.28888888888889</v>
      </c>
      <c r="AD12" s="85">
        <f t="shared" ref="AD12:AF12" si="3">AD13+AD14+AD15</f>
        <v>19.222222222222221</v>
      </c>
      <c r="AE12" s="86">
        <f t="shared" si="3"/>
        <v>7.666666666666667</v>
      </c>
      <c r="AF12" s="85">
        <f t="shared" si="3"/>
        <v>2.7777777777777777</v>
      </c>
      <c r="AG12" s="85">
        <f t="shared" ref="AG12:AG14" si="4">AC12+AD12+AE12+AF12</f>
        <v>41.955555555555556</v>
      </c>
      <c r="AH12" s="71"/>
    </row>
    <row r="13" spans="1:43" ht="15.75">
      <c r="A13" s="79"/>
      <c r="B13" s="81"/>
      <c r="C13" s="81"/>
      <c r="E13" s="6" t="s">
        <v>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50"/>
      <c r="W13" s="52" t="s">
        <v>161</v>
      </c>
      <c r="X13" s="53"/>
      <c r="Y13" s="54"/>
      <c r="Z13" s="76"/>
      <c r="AA13" s="55"/>
      <c r="AB13" s="51"/>
      <c r="AC13" s="87">
        <f>I79/18</f>
        <v>11.888888888888889</v>
      </c>
      <c r="AD13" s="87">
        <f>J79/18</f>
        <v>19.222222222222221</v>
      </c>
      <c r="AE13" s="88">
        <f>K79/18</f>
        <v>7.666666666666667</v>
      </c>
      <c r="AF13" s="87">
        <f>L72/18</f>
        <v>2.7777777777777777</v>
      </c>
      <c r="AG13" s="87">
        <f t="shared" si="4"/>
        <v>41.555555555555557</v>
      </c>
      <c r="AH13" s="71"/>
    </row>
    <row r="14" spans="1:43" ht="12.75">
      <c r="A14" s="79"/>
      <c r="B14" s="81"/>
      <c r="C14" s="81"/>
      <c r="D14" s="89" t="s">
        <v>162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50"/>
      <c r="W14" s="52" t="s">
        <v>163</v>
      </c>
      <c r="X14" s="53"/>
      <c r="Y14" s="54"/>
      <c r="Z14" s="76"/>
      <c r="AA14" s="55"/>
      <c r="AB14" s="51"/>
      <c r="AC14" s="53">
        <v>0.15</v>
      </c>
      <c r="AD14" s="53"/>
      <c r="AE14" s="52"/>
      <c r="AF14" s="77"/>
      <c r="AG14" s="53">
        <f t="shared" si="4"/>
        <v>0.15</v>
      </c>
      <c r="AH14" s="71"/>
    </row>
    <row r="15" spans="1:43" ht="12.75">
      <c r="B15" s="81"/>
      <c r="C15" s="81"/>
      <c r="E15" s="90"/>
      <c r="F15" s="90"/>
      <c r="G15" s="90"/>
      <c r="H15" s="90"/>
      <c r="I15" s="79"/>
      <c r="K15" s="90"/>
      <c r="L15" s="90"/>
      <c r="M15" s="90" t="s">
        <v>164</v>
      </c>
      <c r="N15" s="90"/>
      <c r="O15" s="90"/>
      <c r="P15" s="90"/>
      <c r="Q15" s="90"/>
      <c r="R15" s="90"/>
      <c r="S15" s="90"/>
      <c r="T15" s="90"/>
      <c r="U15" s="90"/>
      <c r="V15" s="50"/>
      <c r="W15" s="52" t="s">
        <v>165</v>
      </c>
      <c r="X15" s="51"/>
      <c r="Y15" s="51"/>
      <c r="Z15" s="91"/>
      <c r="AA15" s="79"/>
      <c r="AB15" s="79"/>
      <c r="AC15" s="53">
        <v>0.25</v>
      </c>
      <c r="AD15" s="53"/>
      <c r="AE15" s="52"/>
      <c r="AF15" s="77"/>
      <c r="AG15" s="53">
        <f>AC15+AD15+AE15+AF15</f>
        <v>0.25</v>
      </c>
      <c r="AH15" s="71"/>
    </row>
    <row r="16" spans="1:43" s="60" customFormat="1" ht="12.75">
      <c r="A16" s="79"/>
      <c r="B16" s="81"/>
      <c r="C16" s="81"/>
      <c r="D16" s="81"/>
      <c r="E16" s="51"/>
      <c r="F16" s="92"/>
      <c r="G16" s="92"/>
      <c r="H16" s="92"/>
      <c r="I16" s="67"/>
      <c r="J16" s="67"/>
      <c r="K16" s="67"/>
      <c r="L16" s="67"/>
      <c r="M16" s="67"/>
      <c r="N16" s="93"/>
      <c r="O16" s="93"/>
      <c r="P16" s="93"/>
      <c r="Q16" s="93"/>
      <c r="R16" s="94"/>
      <c r="S16" s="95"/>
      <c r="T16" s="95"/>
      <c r="U16" s="93"/>
      <c r="V16" s="96"/>
      <c r="W16" s="52"/>
      <c r="X16" s="51"/>
      <c r="Y16" s="51"/>
      <c r="Z16" s="91"/>
      <c r="AA16" s="79"/>
      <c r="AB16" s="79"/>
      <c r="AC16" s="53"/>
      <c r="AD16" s="77"/>
      <c r="AE16" s="97"/>
      <c r="AF16" s="77"/>
      <c r="AG16" s="53"/>
      <c r="AH16" s="51"/>
      <c r="AI16" s="55"/>
      <c r="AJ16" s="55"/>
      <c r="AK16" s="55"/>
      <c r="AL16" s="55"/>
      <c r="AM16" s="55"/>
      <c r="AN16" s="55"/>
      <c r="AO16" s="55"/>
      <c r="AP16" s="55"/>
      <c r="AQ16" s="55"/>
    </row>
    <row r="17" spans="1:74" s="116" customFormat="1" ht="112.5" customHeight="1">
      <c r="A17" s="98" t="s">
        <v>166</v>
      </c>
      <c r="B17" s="98" t="s">
        <v>167</v>
      </c>
      <c r="C17" s="99" t="s">
        <v>168</v>
      </c>
      <c r="D17" s="100"/>
      <c r="E17" s="98" t="s">
        <v>169</v>
      </c>
      <c r="F17" s="98" t="s">
        <v>170</v>
      </c>
      <c r="G17" s="101" t="s">
        <v>171</v>
      </c>
      <c r="H17" s="99" t="s">
        <v>172</v>
      </c>
      <c r="I17" s="102"/>
      <c r="J17" s="102"/>
      <c r="K17" s="102"/>
      <c r="L17" s="100"/>
      <c r="M17" s="103" t="s">
        <v>173</v>
      </c>
      <c r="N17" s="104"/>
      <c r="O17" s="104"/>
      <c r="P17" s="104"/>
      <c r="Q17" s="105"/>
      <c r="R17" s="106" t="s">
        <v>174</v>
      </c>
      <c r="S17" s="106"/>
      <c r="T17" s="106"/>
      <c r="U17" s="106"/>
      <c r="V17" s="107" t="s">
        <v>175</v>
      </c>
      <c r="W17" s="108" t="s">
        <v>176</v>
      </c>
      <c r="X17" s="108"/>
      <c r="Y17" s="109" t="s">
        <v>177</v>
      </c>
      <c r="Z17" s="109"/>
      <c r="AA17" s="110" t="s">
        <v>178</v>
      </c>
      <c r="AB17" s="109" t="s">
        <v>179</v>
      </c>
      <c r="AC17" s="111"/>
      <c r="AD17" s="112" t="s">
        <v>180</v>
      </c>
      <c r="AE17" s="109" t="s">
        <v>181</v>
      </c>
      <c r="AF17" s="109"/>
      <c r="AG17" s="110" t="s">
        <v>182</v>
      </c>
      <c r="AH17" s="113" t="s">
        <v>183</v>
      </c>
      <c r="AI17" s="114"/>
      <c r="AJ17" s="114"/>
      <c r="AK17" s="114"/>
      <c r="AL17" s="114"/>
      <c r="AM17" s="114"/>
      <c r="AN17" s="114"/>
      <c r="AO17" s="114"/>
      <c r="AP17" s="114"/>
      <c r="AQ17" s="114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</row>
    <row r="18" spans="1:74" s="129" customFormat="1" ht="9.75" customHeight="1">
      <c r="A18" s="117"/>
      <c r="B18" s="117"/>
      <c r="C18" s="118"/>
      <c r="D18" s="119"/>
      <c r="E18" s="117"/>
      <c r="F18" s="117"/>
      <c r="G18" s="101"/>
      <c r="H18" s="118"/>
      <c r="I18" s="120"/>
      <c r="J18" s="120"/>
      <c r="K18" s="120"/>
      <c r="L18" s="119"/>
      <c r="M18" s="121"/>
      <c r="N18" s="122"/>
      <c r="O18" s="122"/>
      <c r="P18" s="122"/>
      <c r="Q18" s="123"/>
      <c r="R18" s="106"/>
      <c r="S18" s="106"/>
      <c r="T18" s="106"/>
      <c r="U18" s="106"/>
      <c r="V18" s="107"/>
      <c r="W18" s="109" t="s">
        <v>184</v>
      </c>
      <c r="X18" s="109" t="s">
        <v>185</v>
      </c>
      <c r="Y18" s="109" t="s">
        <v>186</v>
      </c>
      <c r="Z18" s="124" t="s">
        <v>187</v>
      </c>
      <c r="AA18" s="125" t="s">
        <v>187</v>
      </c>
      <c r="AB18" s="109" t="s">
        <v>186</v>
      </c>
      <c r="AC18" s="109" t="s">
        <v>187</v>
      </c>
      <c r="AD18" s="109" t="s">
        <v>187</v>
      </c>
      <c r="AE18" s="126" t="s">
        <v>188</v>
      </c>
      <c r="AF18" s="109" t="s">
        <v>187</v>
      </c>
      <c r="AG18" s="109" t="s">
        <v>187</v>
      </c>
      <c r="AH18" s="113"/>
      <c r="AI18" s="127"/>
      <c r="AJ18" s="127"/>
      <c r="AK18" s="127"/>
      <c r="AL18" s="127"/>
      <c r="AM18" s="127"/>
      <c r="AN18" s="127"/>
      <c r="AO18" s="127"/>
      <c r="AP18" s="127"/>
      <c r="AQ18" s="127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</row>
    <row r="19" spans="1:74" s="137" customFormat="1" ht="45.75" customHeight="1">
      <c r="A19" s="130"/>
      <c r="B19" s="130"/>
      <c r="C19" s="131" t="s">
        <v>189</v>
      </c>
      <c r="D19" s="131" t="s">
        <v>190</v>
      </c>
      <c r="E19" s="130"/>
      <c r="F19" s="130"/>
      <c r="G19" s="101"/>
      <c r="H19" s="132" t="s">
        <v>191</v>
      </c>
      <c r="I19" s="133" t="s">
        <v>192</v>
      </c>
      <c r="J19" s="133" t="s">
        <v>193</v>
      </c>
      <c r="K19" s="133" t="s">
        <v>194</v>
      </c>
      <c r="L19" s="133" t="s">
        <v>195</v>
      </c>
      <c r="M19" s="133" t="s">
        <v>191</v>
      </c>
      <c r="N19" s="133" t="s">
        <v>192</v>
      </c>
      <c r="O19" s="133" t="s">
        <v>193</v>
      </c>
      <c r="P19" s="133" t="s">
        <v>194</v>
      </c>
      <c r="Q19" s="133" t="s">
        <v>195</v>
      </c>
      <c r="R19" s="134" t="s">
        <v>188</v>
      </c>
      <c r="S19" s="133" t="s">
        <v>192</v>
      </c>
      <c r="T19" s="133" t="s">
        <v>193</v>
      </c>
      <c r="U19" s="133" t="s">
        <v>194</v>
      </c>
      <c r="V19" s="107"/>
      <c r="W19" s="109"/>
      <c r="X19" s="109"/>
      <c r="Y19" s="109"/>
      <c r="Z19" s="124"/>
      <c r="AA19" s="125"/>
      <c r="AB19" s="109"/>
      <c r="AC19" s="109"/>
      <c r="AD19" s="109"/>
      <c r="AE19" s="126"/>
      <c r="AF19" s="109"/>
      <c r="AG19" s="109"/>
      <c r="AH19" s="113"/>
      <c r="AI19" s="135"/>
      <c r="AJ19" s="135"/>
      <c r="AK19" s="135"/>
      <c r="AL19" s="135"/>
      <c r="AM19" s="135"/>
      <c r="AN19" s="135"/>
      <c r="AO19" s="135"/>
      <c r="AP19" s="135"/>
      <c r="AQ19" s="135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</row>
    <row r="20" spans="1:74" ht="11.25">
      <c r="A20" s="138" t="s">
        <v>196</v>
      </c>
      <c r="B20" s="138" t="s">
        <v>197</v>
      </c>
      <c r="C20" s="139" t="s">
        <v>198</v>
      </c>
      <c r="D20" s="139" t="s">
        <v>199</v>
      </c>
      <c r="E20" s="138" t="s">
        <v>200</v>
      </c>
      <c r="F20" s="140">
        <v>95741</v>
      </c>
      <c r="G20" s="141">
        <f t="shared" ref="G20:G70" si="5">F20*1.5</f>
        <v>143611.5</v>
      </c>
      <c r="H20" s="140"/>
      <c r="I20" s="140"/>
      <c r="J20" s="141">
        <v>25</v>
      </c>
      <c r="K20" s="141">
        <v>6</v>
      </c>
      <c r="L20" s="141"/>
      <c r="M20" s="142"/>
      <c r="N20" s="143">
        <f t="shared" ref="N20:N70" si="6">G20/18*I20</f>
        <v>0</v>
      </c>
      <c r="O20" s="143">
        <f t="shared" ref="O20:O70" si="7">G20/18*J20</f>
        <v>199460.41666666669</v>
      </c>
      <c r="P20" s="143">
        <f t="shared" ref="P20:P71" si="8">G20/18*K20</f>
        <v>47870.5</v>
      </c>
      <c r="Q20" s="143">
        <f>G20/18*L20</f>
        <v>0</v>
      </c>
      <c r="R20" s="144">
        <v>0.5</v>
      </c>
      <c r="S20" s="145"/>
      <c r="T20" s="145">
        <v>20</v>
      </c>
      <c r="U20" s="143">
        <v>3</v>
      </c>
      <c r="V20" s="146">
        <f>(N20+O20+P20+M20+Q20)+((17697*R20)/18*(S20+T20+U20))</f>
        <v>258637.33333333334</v>
      </c>
      <c r="W20" s="147">
        <v>5309</v>
      </c>
      <c r="X20" s="147"/>
      <c r="Y20" s="147">
        <v>13</v>
      </c>
      <c r="Z20" s="145">
        <f t="shared" ref="Z20:Z70" si="9">(17697*40%)/18*Y20</f>
        <v>5112.4666666666662</v>
      </c>
      <c r="AA20" s="148"/>
      <c r="AB20" s="143">
        <f t="shared" ref="AB20:AB70" si="10">I20+J20+K20+L20</f>
        <v>31</v>
      </c>
      <c r="AC20" s="145">
        <f t="shared" ref="AC20:AC71" si="11">G20/18*30%*AB20</f>
        <v>74199.275000000009</v>
      </c>
      <c r="AD20" s="149"/>
      <c r="AE20" s="150">
        <v>0.4</v>
      </c>
      <c r="AF20" s="145">
        <f t="shared" ref="AF20:AF71" si="12">G20/18*(I20+J20+K20+L20)*AE20</f>
        <v>98932.366666666683</v>
      </c>
      <c r="AG20" s="145">
        <f>(N20+O20+P20+Q20)*10%</f>
        <v>24733.091666666671</v>
      </c>
      <c r="AH20" s="146">
        <f t="shared" ref="AH20:AH70" si="13">V20+W20+X20+Z20+AA20+AC20+AD20+AF20+AG20</f>
        <v>466923.53333333344</v>
      </c>
    </row>
    <row r="21" spans="1:74" ht="11.25">
      <c r="A21" s="138" t="s">
        <v>201</v>
      </c>
      <c r="B21" s="138" t="s">
        <v>197</v>
      </c>
      <c r="C21" s="139" t="s">
        <v>198</v>
      </c>
      <c r="D21" s="139" t="s">
        <v>199</v>
      </c>
      <c r="E21" s="138" t="s">
        <v>202</v>
      </c>
      <c r="F21" s="140">
        <v>95741</v>
      </c>
      <c r="G21" s="141">
        <f t="shared" si="5"/>
        <v>143611.5</v>
      </c>
      <c r="H21" s="140"/>
      <c r="I21" s="140">
        <v>20</v>
      </c>
      <c r="J21" s="141"/>
      <c r="K21" s="141"/>
      <c r="L21" s="141"/>
      <c r="M21" s="142"/>
      <c r="N21" s="143">
        <f t="shared" si="6"/>
        <v>159568.33333333334</v>
      </c>
      <c r="O21" s="143">
        <f t="shared" si="7"/>
        <v>0</v>
      </c>
      <c r="P21" s="143">
        <f t="shared" si="8"/>
        <v>0</v>
      </c>
      <c r="Q21" s="143">
        <f t="shared" ref="Q21:Q70" si="14">G21/18*L21</f>
        <v>0</v>
      </c>
      <c r="R21" s="144">
        <v>0.4</v>
      </c>
      <c r="S21" s="145">
        <v>10</v>
      </c>
      <c r="T21" s="151"/>
      <c r="U21" s="143"/>
      <c r="V21" s="146">
        <f t="shared" ref="V21:V70" si="15">(N21+O21+P21+M21+Q21)+((17697*R21)/18*(S21+T21+U21))</f>
        <v>163501</v>
      </c>
      <c r="W21" s="147">
        <v>8848</v>
      </c>
      <c r="X21" s="147"/>
      <c r="Y21" s="147"/>
      <c r="Z21" s="145">
        <f t="shared" si="9"/>
        <v>0</v>
      </c>
      <c r="AA21" s="148"/>
      <c r="AB21" s="143">
        <f t="shared" si="10"/>
        <v>20</v>
      </c>
      <c r="AC21" s="145">
        <f t="shared" si="11"/>
        <v>47870.5</v>
      </c>
      <c r="AD21" s="149"/>
      <c r="AE21" s="150">
        <v>0.4</v>
      </c>
      <c r="AF21" s="145">
        <f t="shared" si="12"/>
        <v>63827.333333333343</v>
      </c>
      <c r="AG21" s="145">
        <f t="shared" ref="AG21:AG70" si="16">(N21+O21+P21+Q21)*10%</f>
        <v>15956.833333333336</v>
      </c>
      <c r="AH21" s="146">
        <f t="shared" si="13"/>
        <v>300003.66666666669</v>
      </c>
    </row>
    <row r="22" spans="1:74" ht="11.25">
      <c r="A22" s="138" t="s">
        <v>203</v>
      </c>
      <c r="B22" s="138" t="s">
        <v>197</v>
      </c>
      <c r="C22" s="139" t="s">
        <v>198</v>
      </c>
      <c r="D22" s="139" t="s">
        <v>199</v>
      </c>
      <c r="E22" s="138" t="s">
        <v>202</v>
      </c>
      <c r="F22" s="140">
        <v>95741</v>
      </c>
      <c r="G22" s="141">
        <f t="shared" si="5"/>
        <v>143611.5</v>
      </c>
      <c r="H22" s="140"/>
      <c r="I22" s="140">
        <v>2</v>
      </c>
      <c r="J22" s="141"/>
      <c r="K22" s="141"/>
      <c r="L22" s="141"/>
      <c r="M22" s="142"/>
      <c r="N22" s="143">
        <f t="shared" si="6"/>
        <v>15956.833333333334</v>
      </c>
      <c r="O22" s="143">
        <f t="shared" si="7"/>
        <v>0</v>
      </c>
      <c r="P22" s="143">
        <f t="shared" si="8"/>
        <v>0</v>
      </c>
      <c r="Q22" s="143">
        <f t="shared" si="14"/>
        <v>0</v>
      </c>
      <c r="R22" s="144">
        <v>0.5</v>
      </c>
      <c r="S22" s="145">
        <v>2</v>
      </c>
      <c r="T22" s="151"/>
      <c r="U22" s="143"/>
      <c r="V22" s="146">
        <f t="shared" si="15"/>
        <v>16940</v>
      </c>
      <c r="W22" s="147"/>
      <c r="X22" s="147"/>
      <c r="Y22" s="147"/>
      <c r="Z22" s="145">
        <f t="shared" si="9"/>
        <v>0</v>
      </c>
      <c r="AA22" s="148"/>
      <c r="AB22" s="143">
        <f t="shared" si="10"/>
        <v>2</v>
      </c>
      <c r="AC22" s="145">
        <f t="shared" si="11"/>
        <v>4787.05</v>
      </c>
      <c r="AD22" s="149"/>
      <c r="AE22" s="150"/>
      <c r="AF22" s="145">
        <f t="shared" si="12"/>
        <v>0</v>
      </c>
      <c r="AG22" s="145">
        <f t="shared" si="16"/>
        <v>1595.6833333333334</v>
      </c>
      <c r="AH22" s="146">
        <f t="shared" si="13"/>
        <v>23322.733333333334</v>
      </c>
    </row>
    <row r="23" spans="1:74" ht="11.25">
      <c r="A23" s="138" t="s">
        <v>204</v>
      </c>
      <c r="B23" s="138" t="s">
        <v>197</v>
      </c>
      <c r="C23" s="139" t="s">
        <v>198</v>
      </c>
      <c r="D23" s="139" t="s">
        <v>199</v>
      </c>
      <c r="E23" s="152" t="s">
        <v>49</v>
      </c>
      <c r="F23" s="140">
        <v>95741</v>
      </c>
      <c r="G23" s="141">
        <f t="shared" si="5"/>
        <v>143611.5</v>
      </c>
      <c r="H23" s="140"/>
      <c r="I23" s="140"/>
      <c r="J23" s="141">
        <v>15</v>
      </c>
      <c r="K23" s="141">
        <v>10</v>
      </c>
      <c r="L23" s="141"/>
      <c r="M23" s="142"/>
      <c r="N23" s="143">
        <f t="shared" si="6"/>
        <v>0</v>
      </c>
      <c r="O23" s="143">
        <f t="shared" si="7"/>
        <v>119676.25</v>
      </c>
      <c r="P23" s="143">
        <f t="shared" si="8"/>
        <v>79784.166666666672</v>
      </c>
      <c r="Q23" s="143">
        <f t="shared" si="14"/>
        <v>0</v>
      </c>
      <c r="R23" s="144">
        <v>0.4</v>
      </c>
      <c r="S23" s="145"/>
      <c r="T23" s="145">
        <v>4</v>
      </c>
      <c r="U23" s="143">
        <v>3</v>
      </c>
      <c r="V23" s="146">
        <f t="shared" si="15"/>
        <v>202213.28333333335</v>
      </c>
      <c r="W23" s="147"/>
      <c r="X23" s="147">
        <v>3539</v>
      </c>
      <c r="Y23" s="147">
        <v>8</v>
      </c>
      <c r="Z23" s="145">
        <f t="shared" si="9"/>
        <v>3146.1333333333332</v>
      </c>
      <c r="AA23" s="148">
        <v>17697</v>
      </c>
      <c r="AB23" s="143">
        <f t="shared" si="10"/>
        <v>25</v>
      </c>
      <c r="AC23" s="145">
        <f t="shared" si="11"/>
        <v>59838.125</v>
      </c>
      <c r="AD23" s="149"/>
      <c r="AE23" s="150">
        <v>0.4</v>
      </c>
      <c r="AF23" s="145">
        <f t="shared" si="12"/>
        <v>79784.166666666686</v>
      </c>
      <c r="AG23" s="145">
        <f t="shared" si="16"/>
        <v>19946.041666666672</v>
      </c>
      <c r="AH23" s="146">
        <f t="shared" si="13"/>
        <v>386163.75000000006</v>
      </c>
    </row>
    <row r="24" spans="1:74" ht="11.25">
      <c r="A24" s="138" t="s">
        <v>205</v>
      </c>
      <c r="B24" s="138" t="s">
        <v>197</v>
      </c>
      <c r="C24" s="139" t="s">
        <v>198</v>
      </c>
      <c r="D24" s="139" t="s">
        <v>199</v>
      </c>
      <c r="E24" s="138" t="s">
        <v>206</v>
      </c>
      <c r="F24" s="140">
        <v>95741</v>
      </c>
      <c r="G24" s="141">
        <f t="shared" si="5"/>
        <v>143611.5</v>
      </c>
      <c r="H24" s="140"/>
      <c r="I24" s="140"/>
      <c r="J24" s="141">
        <v>4</v>
      </c>
      <c r="K24" s="141">
        <v>1</v>
      </c>
      <c r="L24" s="141"/>
      <c r="M24" s="142"/>
      <c r="N24" s="143">
        <f t="shared" si="6"/>
        <v>0</v>
      </c>
      <c r="O24" s="143">
        <f t="shared" si="7"/>
        <v>31913.666666666668</v>
      </c>
      <c r="P24" s="143">
        <f t="shared" si="8"/>
        <v>7978.416666666667</v>
      </c>
      <c r="Q24" s="143">
        <f t="shared" si="14"/>
        <v>0</v>
      </c>
      <c r="R24" s="144">
        <v>0.4</v>
      </c>
      <c r="S24" s="145"/>
      <c r="T24" s="145">
        <v>2</v>
      </c>
      <c r="U24" s="153">
        <v>0.5</v>
      </c>
      <c r="V24" s="146">
        <f t="shared" si="15"/>
        <v>40875.25</v>
      </c>
      <c r="W24" s="147"/>
      <c r="X24" s="147"/>
      <c r="Y24" s="147"/>
      <c r="Z24" s="145">
        <f t="shared" si="9"/>
        <v>0</v>
      </c>
      <c r="AA24" s="148"/>
      <c r="AB24" s="143">
        <f t="shared" si="10"/>
        <v>5</v>
      </c>
      <c r="AC24" s="145">
        <f t="shared" si="11"/>
        <v>11967.625</v>
      </c>
      <c r="AD24" s="149"/>
      <c r="AE24" s="150"/>
      <c r="AF24" s="145">
        <f t="shared" si="12"/>
        <v>0</v>
      </c>
      <c r="AG24" s="145">
        <f t="shared" si="16"/>
        <v>3989.2083333333339</v>
      </c>
      <c r="AH24" s="146">
        <f t="shared" si="13"/>
        <v>56832.083333333336</v>
      </c>
    </row>
    <row r="25" spans="1:74" ht="11.25">
      <c r="A25" s="138" t="s">
        <v>207</v>
      </c>
      <c r="B25" s="138" t="s">
        <v>197</v>
      </c>
      <c r="C25" s="139" t="s">
        <v>198</v>
      </c>
      <c r="D25" s="139" t="s">
        <v>199</v>
      </c>
      <c r="E25" s="138" t="s">
        <v>208</v>
      </c>
      <c r="F25" s="140">
        <v>95741</v>
      </c>
      <c r="G25" s="141">
        <f t="shared" si="5"/>
        <v>143611.5</v>
      </c>
      <c r="H25" s="140"/>
      <c r="I25" s="140"/>
      <c r="J25" s="141">
        <v>8</v>
      </c>
      <c r="K25" s="141">
        <v>5</v>
      </c>
      <c r="L25" s="141"/>
      <c r="M25" s="142"/>
      <c r="N25" s="143">
        <f t="shared" si="6"/>
        <v>0</v>
      </c>
      <c r="O25" s="143">
        <f t="shared" si="7"/>
        <v>63827.333333333336</v>
      </c>
      <c r="P25" s="143">
        <f t="shared" si="8"/>
        <v>39892.083333333336</v>
      </c>
      <c r="Q25" s="143">
        <f t="shared" si="14"/>
        <v>0</v>
      </c>
      <c r="R25" s="144"/>
      <c r="S25" s="145"/>
      <c r="T25" s="151"/>
      <c r="U25" s="154"/>
      <c r="V25" s="146">
        <f t="shared" si="15"/>
        <v>103719.41666666667</v>
      </c>
      <c r="W25" s="147"/>
      <c r="X25" s="147">
        <v>3539</v>
      </c>
      <c r="Y25" s="147">
        <v>1</v>
      </c>
      <c r="Z25" s="145">
        <f t="shared" si="9"/>
        <v>393.26666666666665</v>
      </c>
      <c r="AA25" s="148"/>
      <c r="AB25" s="143">
        <f t="shared" si="10"/>
        <v>13</v>
      </c>
      <c r="AC25" s="145">
        <f t="shared" si="11"/>
        <v>31115.825000000001</v>
      </c>
      <c r="AD25" s="149"/>
      <c r="AE25" s="150"/>
      <c r="AF25" s="145">
        <f t="shared" si="12"/>
        <v>0</v>
      </c>
      <c r="AG25" s="145">
        <f t="shared" si="16"/>
        <v>10371.941666666668</v>
      </c>
      <c r="AH25" s="146">
        <f t="shared" si="13"/>
        <v>149139.45000000001</v>
      </c>
    </row>
    <row r="26" spans="1:74" ht="11.25">
      <c r="A26" s="138" t="s">
        <v>201</v>
      </c>
      <c r="B26" s="138" t="s">
        <v>197</v>
      </c>
      <c r="C26" s="139" t="s">
        <v>198</v>
      </c>
      <c r="D26" s="139" t="s">
        <v>199</v>
      </c>
      <c r="E26" s="138" t="s">
        <v>209</v>
      </c>
      <c r="F26" s="140">
        <v>95741</v>
      </c>
      <c r="G26" s="141">
        <f>F26*1.5</f>
        <v>143611.5</v>
      </c>
      <c r="H26" s="140"/>
      <c r="I26" s="140">
        <v>19</v>
      </c>
      <c r="J26" s="155"/>
      <c r="K26" s="156"/>
      <c r="L26" s="156"/>
      <c r="M26" s="157"/>
      <c r="N26" s="143">
        <f>G26/18*I26</f>
        <v>151589.91666666669</v>
      </c>
      <c r="O26" s="143">
        <f>G26/18*J26</f>
        <v>0</v>
      </c>
      <c r="P26" s="143">
        <f t="shared" si="8"/>
        <v>0</v>
      </c>
      <c r="Q26" s="143">
        <f t="shared" si="14"/>
        <v>0</v>
      </c>
      <c r="R26" s="144">
        <v>0.4</v>
      </c>
      <c r="S26" s="145">
        <v>10</v>
      </c>
      <c r="T26" s="158"/>
      <c r="U26" s="154"/>
      <c r="V26" s="146">
        <f t="shared" si="15"/>
        <v>155522.58333333334</v>
      </c>
      <c r="W26" s="159">
        <v>8848</v>
      </c>
      <c r="X26" s="147"/>
      <c r="Y26" s="147"/>
      <c r="Z26" s="145">
        <f>(17697*40%)/18*Y26</f>
        <v>0</v>
      </c>
      <c r="AA26" s="148"/>
      <c r="AB26" s="143">
        <f>I26+J26+K26+L26</f>
        <v>19</v>
      </c>
      <c r="AC26" s="145">
        <f t="shared" si="11"/>
        <v>45476.974999999999</v>
      </c>
      <c r="AD26" s="149"/>
      <c r="AE26" s="150">
        <v>0.4</v>
      </c>
      <c r="AF26" s="145">
        <f t="shared" si="12"/>
        <v>60635.966666666674</v>
      </c>
      <c r="AG26" s="145">
        <f t="shared" si="16"/>
        <v>15158.991666666669</v>
      </c>
      <c r="AH26" s="146">
        <f>V26+W26+X26+Z26+AA26+AC26+AD26+AF26+AG26</f>
        <v>285642.51666666672</v>
      </c>
    </row>
    <row r="27" spans="1:74" ht="11.25">
      <c r="A27" s="138" t="s">
        <v>210</v>
      </c>
      <c r="B27" s="138" t="s">
        <v>197</v>
      </c>
      <c r="C27" s="139" t="s">
        <v>198</v>
      </c>
      <c r="D27" s="139" t="s">
        <v>199</v>
      </c>
      <c r="E27" s="138" t="s">
        <v>211</v>
      </c>
      <c r="F27" s="140">
        <v>95741</v>
      </c>
      <c r="G27" s="141">
        <f>F27*1.5</f>
        <v>143611.5</v>
      </c>
      <c r="H27" s="140"/>
      <c r="I27" s="140"/>
      <c r="J27" s="141">
        <v>5</v>
      </c>
      <c r="K27" s="141">
        <v>3</v>
      </c>
      <c r="L27" s="141"/>
      <c r="M27" s="142"/>
      <c r="N27" s="143">
        <f>G27/18*I27</f>
        <v>0</v>
      </c>
      <c r="O27" s="143">
        <f>G27/18*J27</f>
        <v>39892.083333333336</v>
      </c>
      <c r="P27" s="143">
        <f t="shared" si="8"/>
        <v>23935.25</v>
      </c>
      <c r="Q27" s="143">
        <f t="shared" si="14"/>
        <v>0</v>
      </c>
      <c r="R27" s="144">
        <v>0.4</v>
      </c>
      <c r="S27" s="145"/>
      <c r="T27" s="145">
        <v>3</v>
      </c>
      <c r="U27" s="154">
        <v>1</v>
      </c>
      <c r="V27" s="146">
        <f t="shared" si="15"/>
        <v>65400.4</v>
      </c>
      <c r="W27" s="147"/>
      <c r="X27" s="147"/>
      <c r="Y27" s="147">
        <v>2</v>
      </c>
      <c r="Z27" s="145">
        <f>(17697*40%)/18*Y27</f>
        <v>786.5333333333333</v>
      </c>
      <c r="AA27" s="148"/>
      <c r="AB27" s="143">
        <f>I27+J27+K27+L27</f>
        <v>8</v>
      </c>
      <c r="AC27" s="145">
        <f t="shared" si="11"/>
        <v>19148.2</v>
      </c>
      <c r="AD27" s="149"/>
      <c r="AE27" s="150">
        <v>0.4</v>
      </c>
      <c r="AF27" s="145">
        <f t="shared" si="12"/>
        <v>25530.933333333334</v>
      </c>
      <c r="AG27" s="145">
        <f t="shared" si="16"/>
        <v>6382.7333333333336</v>
      </c>
      <c r="AH27" s="146">
        <f>V27+W27+X27+Z27+AA27+AC27+AD27+AF27+AG27</f>
        <v>117248.8</v>
      </c>
    </row>
    <row r="28" spans="1:74" ht="11.25">
      <c r="A28" s="138" t="s">
        <v>212</v>
      </c>
      <c r="B28" s="138" t="s">
        <v>197</v>
      </c>
      <c r="C28" s="139" t="s">
        <v>198</v>
      </c>
      <c r="D28" s="139" t="s">
        <v>199</v>
      </c>
      <c r="E28" s="138" t="s">
        <v>213</v>
      </c>
      <c r="F28" s="140">
        <v>95741</v>
      </c>
      <c r="G28" s="141">
        <f t="shared" si="5"/>
        <v>143611.5</v>
      </c>
      <c r="H28" s="140"/>
      <c r="I28" s="140"/>
      <c r="J28" s="141">
        <v>25</v>
      </c>
      <c r="K28" s="141">
        <v>10</v>
      </c>
      <c r="L28" s="141">
        <v>6</v>
      </c>
      <c r="M28" s="142"/>
      <c r="N28" s="143">
        <f t="shared" si="6"/>
        <v>0</v>
      </c>
      <c r="O28" s="143">
        <f t="shared" si="7"/>
        <v>199460.41666666669</v>
      </c>
      <c r="P28" s="143">
        <f t="shared" si="8"/>
        <v>79784.166666666672</v>
      </c>
      <c r="Q28" s="143">
        <f t="shared" si="14"/>
        <v>47870.5</v>
      </c>
      <c r="R28" s="144">
        <v>0.4</v>
      </c>
      <c r="S28" s="145"/>
      <c r="T28" s="151">
        <v>13.5</v>
      </c>
      <c r="U28" s="154">
        <v>5</v>
      </c>
      <c r="V28" s="146">
        <f t="shared" si="15"/>
        <v>334390.51666666672</v>
      </c>
      <c r="W28" s="147">
        <v>5309</v>
      </c>
      <c r="X28" s="147"/>
      <c r="Y28" s="147">
        <v>10</v>
      </c>
      <c r="Z28" s="145">
        <f t="shared" si="9"/>
        <v>3932.6666666666665</v>
      </c>
      <c r="AA28" s="148"/>
      <c r="AB28" s="143">
        <f t="shared" si="10"/>
        <v>41</v>
      </c>
      <c r="AC28" s="145">
        <f t="shared" si="11"/>
        <v>98134.525000000009</v>
      </c>
      <c r="AD28" s="149"/>
      <c r="AE28" s="150">
        <v>0.4</v>
      </c>
      <c r="AF28" s="145">
        <f t="shared" si="12"/>
        <v>130846.03333333335</v>
      </c>
      <c r="AG28" s="145">
        <f t="shared" si="16"/>
        <v>32711.508333333339</v>
      </c>
      <c r="AH28" s="146">
        <f t="shared" si="13"/>
        <v>605324.25000000012</v>
      </c>
    </row>
    <row r="29" spans="1:74" ht="11.25">
      <c r="A29" s="138" t="s">
        <v>214</v>
      </c>
      <c r="B29" s="138" t="s">
        <v>197</v>
      </c>
      <c r="C29" s="139" t="s">
        <v>198</v>
      </c>
      <c r="D29" s="139" t="s">
        <v>199</v>
      </c>
      <c r="E29" s="138" t="s">
        <v>74</v>
      </c>
      <c r="F29" s="140">
        <v>95741</v>
      </c>
      <c r="G29" s="141">
        <f t="shared" si="5"/>
        <v>143611.5</v>
      </c>
      <c r="H29" s="140"/>
      <c r="I29" s="140"/>
      <c r="J29" s="141">
        <v>15</v>
      </c>
      <c r="K29" s="141">
        <v>8</v>
      </c>
      <c r="L29" s="141"/>
      <c r="M29" s="142"/>
      <c r="N29" s="143">
        <f t="shared" si="6"/>
        <v>0</v>
      </c>
      <c r="O29" s="143">
        <f t="shared" si="7"/>
        <v>119676.25</v>
      </c>
      <c r="P29" s="143">
        <f t="shared" si="8"/>
        <v>63827.333333333336</v>
      </c>
      <c r="Q29" s="143">
        <f t="shared" si="14"/>
        <v>0</v>
      </c>
      <c r="R29" s="144"/>
      <c r="S29" s="145"/>
      <c r="T29" s="160"/>
      <c r="U29" s="154"/>
      <c r="V29" s="146">
        <f t="shared" si="15"/>
        <v>183503.58333333334</v>
      </c>
      <c r="W29" s="147">
        <v>5309</v>
      </c>
      <c r="X29" s="147"/>
      <c r="Y29" s="147">
        <v>9</v>
      </c>
      <c r="Z29" s="145">
        <f t="shared" si="9"/>
        <v>3539.3999999999996</v>
      </c>
      <c r="AA29" s="148"/>
      <c r="AB29" s="143">
        <f t="shared" si="10"/>
        <v>23</v>
      </c>
      <c r="AC29" s="145">
        <f t="shared" si="11"/>
        <v>55051.075000000004</v>
      </c>
      <c r="AD29" s="149"/>
      <c r="AE29" s="150"/>
      <c r="AF29" s="145">
        <f t="shared" si="12"/>
        <v>0</v>
      </c>
      <c r="AG29" s="145">
        <f t="shared" si="16"/>
        <v>18350.358333333334</v>
      </c>
      <c r="AH29" s="146">
        <f t="shared" si="13"/>
        <v>265753.41666666669</v>
      </c>
    </row>
    <row r="30" spans="1:74" ht="11.25">
      <c r="A30" s="138" t="s">
        <v>215</v>
      </c>
      <c r="B30" s="138" t="s">
        <v>197</v>
      </c>
      <c r="C30" s="139" t="s">
        <v>198</v>
      </c>
      <c r="D30" s="139" t="s">
        <v>199</v>
      </c>
      <c r="E30" s="138" t="s">
        <v>216</v>
      </c>
      <c r="F30" s="140">
        <v>94148</v>
      </c>
      <c r="G30" s="141">
        <f t="shared" si="5"/>
        <v>141222</v>
      </c>
      <c r="H30" s="140"/>
      <c r="I30" s="140"/>
      <c r="J30" s="141">
        <v>4</v>
      </c>
      <c r="K30" s="141">
        <v>2</v>
      </c>
      <c r="L30" s="141"/>
      <c r="M30" s="142"/>
      <c r="N30" s="143">
        <f t="shared" si="6"/>
        <v>0</v>
      </c>
      <c r="O30" s="143">
        <f t="shared" si="7"/>
        <v>31382.666666666668</v>
      </c>
      <c r="P30" s="143">
        <f t="shared" si="8"/>
        <v>15691.333333333334</v>
      </c>
      <c r="Q30" s="143">
        <f t="shared" si="14"/>
        <v>0</v>
      </c>
      <c r="R30" s="144"/>
      <c r="S30" s="145"/>
      <c r="T30" s="160"/>
      <c r="U30" s="154"/>
      <c r="V30" s="146">
        <f t="shared" si="15"/>
        <v>47074</v>
      </c>
      <c r="W30" s="147"/>
      <c r="X30" s="147"/>
      <c r="Y30" s="147">
        <v>2</v>
      </c>
      <c r="Z30" s="145">
        <f t="shared" si="9"/>
        <v>786.5333333333333</v>
      </c>
      <c r="AA30" s="148"/>
      <c r="AB30" s="143">
        <f t="shared" si="10"/>
        <v>6</v>
      </c>
      <c r="AC30" s="145">
        <f t="shared" si="11"/>
        <v>14122.199999999999</v>
      </c>
      <c r="AD30" s="149"/>
      <c r="AE30" s="150"/>
      <c r="AF30" s="145">
        <f t="shared" si="12"/>
        <v>0</v>
      </c>
      <c r="AG30" s="145">
        <f t="shared" si="16"/>
        <v>4707.4000000000005</v>
      </c>
      <c r="AH30" s="146">
        <f t="shared" si="13"/>
        <v>66690.133333333331</v>
      </c>
    </row>
    <row r="31" spans="1:74" ht="11.25">
      <c r="A31" s="138" t="s">
        <v>217</v>
      </c>
      <c r="B31" s="138" t="s">
        <v>197</v>
      </c>
      <c r="C31" s="139" t="s">
        <v>198</v>
      </c>
      <c r="D31" s="139" t="s">
        <v>199</v>
      </c>
      <c r="E31" s="152" t="s">
        <v>46</v>
      </c>
      <c r="F31" s="140">
        <v>92732</v>
      </c>
      <c r="G31" s="141">
        <f t="shared" si="5"/>
        <v>139098</v>
      </c>
      <c r="H31" s="140"/>
      <c r="I31" s="155"/>
      <c r="J31" s="141">
        <v>3</v>
      </c>
      <c r="K31" s="141">
        <v>6</v>
      </c>
      <c r="L31" s="141"/>
      <c r="M31" s="142"/>
      <c r="N31" s="143">
        <f t="shared" si="6"/>
        <v>0</v>
      </c>
      <c r="O31" s="143">
        <f t="shared" si="7"/>
        <v>23183</v>
      </c>
      <c r="P31" s="143">
        <f t="shared" si="8"/>
        <v>46366</v>
      </c>
      <c r="Q31" s="143">
        <f t="shared" si="14"/>
        <v>0</v>
      </c>
      <c r="R31" s="144"/>
      <c r="S31" s="145"/>
      <c r="T31" s="160"/>
      <c r="U31" s="154"/>
      <c r="V31" s="146">
        <f t="shared" si="15"/>
        <v>69549</v>
      </c>
      <c r="W31" s="147"/>
      <c r="X31" s="147"/>
      <c r="Y31" s="147">
        <v>3</v>
      </c>
      <c r="Z31" s="145">
        <f t="shared" si="9"/>
        <v>1179.8</v>
      </c>
      <c r="AA31" s="148"/>
      <c r="AB31" s="143">
        <f t="shared" si="10"/>
        <v>9</v>
      </c>
      <c r="AC31" s="145">
        <f t="shared" si="11"/>
        <v>20864.7</v>
      </c>
      <c r="AD31" s="149"/>
      <c r="AE31" s="150"/>
      <c r="AF31" s="145">
        <f t="shared" si="12"/>
        <v>0</v>
      </c>
      <c r="AG31" s="145">
        <f t="shared" si="16"/>
        <v>6954.9000000000005</v>
      </c>
      <c r="AH31" s="146">
        <f t="shared" si="13"/>
        <v>98548.4</v>
      </c>
    </row>
    <row r="32" spans="1:74" ht="11.25">
      <c r="A32" s="138" t="s">
        <v>218</v>
      </c>
      <c r="B32" s="138" t="s">
        <v>197</v>
      </c>
      <c r="C32" s="139" t="s">
        <v>198</v>
      </c>
      <c r="D32" s="139" t="s">
        <v>199</v>
      </c>
      <c r="E32" s="138" t="s">
        <v>219</v>
      </c>
      <c r="F32" s="140">
        <v>92732</v>
      </c>
      <c r="G32" s="141">
        <f t="shared" si="5"/>
        <v>139098</v>
      </c>
      <c r="H32" s="140"/>
      <c r="I32" s="140">
        <v>8</v>
      </c>
      <c r="J32" s="141">
        <v>15</v>
      </c>
      <c r="K32" s="141">
        <v>5</v>
      </c>
      <c r="L32" s="141">
        <v>2</v>
      </c>
      <c r="M32" s="142"/>
      <c r="N32" s="143">
        <f t="shared" si="6"/>
        <v>61821.333333333336</v>
      </c>
      <c r="O32" s="143">
        <f t="shared" si="7"/>
        <v>115915</v>
      </c>
      <c r="P32" s="143">
        <f t="shared" si="8"/>
        <v>38638.333333333336</v>
      </c>
      <c r="Q32" s="143">
        <f t="shared" si="14"/>
        <v>15455.333333333334</v>
      </c>
      <c r="R32" s="144">
        <v>0.4</v>
      </c>
      <c r="S32" s="145">
        <v>4</v>
      </c>
      <c r="T32" s="145">
        <v>12</v>
      </c>
      <c r="U32" s="154">
        <v>2</v>
      </c>
      <c r="V32" s="146">
        <f t="shared" si="15"/>
        <v>238908.80000000002</v>
      </c>
      <c r="W32" s="147">
        <v>4424</v>
      </c>
      <c r="X32" s="147">
        <v>3539</v>
      </c>
      <c r="Y32" s="147">
        <v>12</v>
      </c>
      <c r="Z32" s="145">
        <f t="shared" si="9"/>
        <v>4719.2</v>
      </c>
      <c r="AA32" s="148"/>
      <c r="AB32" s="143">
        <f t="shared" si="10"/>
        <v>30</v>
      </c>
      <c r="AC32" s="145">
        <f t="shared" si="11"/>
        <v>69549</v>
      </c>
      <c r="AD32" s="149"/>
      <c r="AE32" s="150">
        <v>0.4</v>
      </c>
      <c r="AF32" s="145">
        <f t="shared" si="12"/>
        <v>92732</v>
      </c>
      <c r="AG32" s="145">
        <f t="shared" si="16"/>
        <v>23183.000000000004</v>
      </c>
      <c r="AH32" s="146">
        <f t="shared" si="13"/>
        <v>437055</v>
      </c>
    </row>
    <row r="33" spans="1:35" ht="11.25">
      <c r="A33" s="138" t="s">
        <v>220</v>
      </c>
      <c r="B33" s="138" t="s">
        <v>197</v>
      </c>
      <c r="C33" s="139" t="s">
        <v>198</v>
      </c>
      <c r="D33" s="139" t="s">
        <v>199</v>
      </c>
      <c r="E33" s="138" t="s">
        <v>221</v>
      </c>
      <c r="F33" s="140">
        <v>91317</v>
      </c>
      <c r="G33" s="141">
        <f t="shared" si="5"/>
        <v>136975.5</v>
      </c>
      <c r="H33" s="140"/>
      <c r="I33" s="140"/>
      <c r="J33" s="141">
        <v>10</v>
      </c>
      <c r="K33" s="141">
        <v>9</v>
      </c>
      <c r="L33" s="141">
        <v>4</v>
      </c>
      <c r="M33" s="142"/>
      <c r="N33" s="143">
        <f t="shared" si="6"/>
        <v>0</v>
      </c>
      <c r="O33" s="143">
        <f t="shared" si="7"/>
        <v>76097.5</v>
      </c>
      <c r="P33" s="143">
        <f t="shared" si="8"/>
        <v>68487.75</v>
      </c>
      <c r="Q33" s="143">
        <f t="shared" si="14"/>
        <v>30439</v>
      </c>
      <c r="R33" s="144">
        <v>0.5</v>
      </c>
      <c r="S33" s="145"/>
      <c r="T33" s="151">
        <v>12.5</v>
      </c>
      <c r="U33" s="153">
        <v>4.5</v>
      </c>
      <c r="V33" s="146">
        <f t="shared" si="15"/>
        <v>183381.16666666666</v>
      </c>
      <c r="W33" s="147"/>
      <c r="X33" s="147"/>
      <c r="Y33" s="147">
        <v>8</v>
      </c>
      <c r="Z33" s="145">
        <f t="shared" si="9"/>
        <v>3146.1333333333332</v>
      </c>
      <c r="AA33" s="148"/>
      <c r="AB33" s="143">
        <f t="shared" si="10"/>
        <v>23</v>
      </c>
      <c r="AC33" s="145">
        <f t="shared" si="11"/>
        <v>52507.274999999994</v>
      </c>
      <c r="AD33" s="149"/>
      <c r="AE33" s="150">
        <v>0.4</v>
      </c>
      <c r="AF33" s="145">
        <f t="shared" si="12"/>
        <v>70009.7</v>
      </c>
      <c r="AG33" s="145">
        <f t="shared" si="16"/>
        <v>17502.424999999999</v>
      </c>
      <c r="AH33" s="146">
        <f t="shared" si="13"/>
        <v>326546.69999999995</v>
      </c>
    </row>
    <row r="34" spans="1:35" ht="11.25">
      <c r="A34" s="138" t="s">
        <v>222</v>
      </c>
      <c r="B34" s="138" t="s">
        <v>197</v>
      </c>
      <c r="C34" s="139" t="s">
        <v>198</v>
      </c>
      <c r="D34" s="139" t="s">
        <v>199</v>
      </c>
      <c r="E34" s="138" t="s">
        <v>223</v>
      </c>
      <c r="F34" s="140">
        <v>91317</v>
      </c>
      <c r="G34" s="141">
        <f t="shared" si="5"/>
        <v>136975.5</v>
      </c>
      <c r="H34" s="140"/>
      <c r="I34" s="140"/>
      <c r="J34" s="141">
        <v>4</v>
      </c>
      <c r="K34" s="141"/>
      <c r="L34" s="141"/>
      <c r="M34" s="142"/>
      <c r="N34" s="143">
        <f t="shared" si="6"/>
        <v>0</v>
      </c>
      <c r="O34" s="143">
        <f t="shared" si="7"/>
        <v>30439</v>
      </c>
      <c r="P34" s="143">
        <f t="shared" si="8"/>
        <v>0</v>
      </c>
      <c r="Q34" s="143">
        <f t="shared" si="14"/>
        <v>0</v>
      </c>
      <c r="R34" s="144"/>
      <c r="S34" s="145"/>
      <c r="T34" s="151"/>
      <c r="U34" s="154"/>
      <c r="V34" s="146">
        <f t="shared" si="15"/>
        <v>30439</v>
      </c>
      <c r="W34" s="147"/>
      <c r="X34" s="147"/>
      <c r="Y34" s="147">
        <v>3</v>
      </c>
      <c r="Z34" s="145">
        <f t="shared" si="9"/>
        <v>1179.8</v>
      </c>
      <c r="AA34" s="148"/>
      <c r="AB34" s="143">
        <f t="shared" si="10"/>
        <v>4</v>
      </c>
      <c r="AC34" s="145">
        <f t="shared" si="11"/>
        <v>9131.6999999999989</v>
      </c>
      <c r="AD34" s="149">
        <v>29170</v>
      </c>
      <c r="AE34" s="150"/>
      <c r="AF34" s="145">
        <f t="shared" si="12"/>
        <v>0</v>
      </c>
      <c r="AG34" s="145">
        <f t="shared" si="16"/>
        <v>3043.9</v>
      </c>
      <c r="AH34" s="146">
        <f t="shared" si="13"/>
        <v>72964.399999999994</v>
      </c>
    </row>
    <row r="35" spans="1:35" ht="11.25">
      <c r="A35" s="138" t="s">
        <v>224</v>
      </c>
      <c r="B35" s="138" t="s">
        <v>197</v>
      </c>
      <c r="C35" s="139">
        <v>1</v>
      </c>
      <c r="D35" s="139" t="s">
        <v>199</v>
      </c>
      <c r="E35" s="138" t="s">
        <v>52</v>
      </c>
      <c r="F35" s="140">
        <v>92024</v>
      </c>
      <c r="G35" s="141">
        <f t="shared" si="5"/>
        <v>138036</v>
      </c>
      <c r="H35" s="140"/>
      <c r="I35" s="140">
        <v>2</v>
      </c>
      <c r="J35" s="141">
        <v>5</v>
      </c>
      <c r="K35" s="141">
        <v>4</v>
      </c>
      <c r="L35" s="141"/>
      <c r="M35" s="161"/>
      <c r="N35" s="143">
        <f t="shared" si="6"/>
        <v>15337.333333333334</v>
      </c>
      <c r="O35" s="143">
        <f t="shared" si="7"/>
        <v>38343.333333333336</v>
      </c>
      <c r="P35" s="143">
        <f t="shared" si="8"/>
        <v>30674.666666666668</v>
      </c>
      <c r="Q35" s="143">
        <f t="shared" si="14"/>
        <v>0</v>
      </c>
      <c r="R35" s="144"/>
      <c r="S35" s="145"/>
      <c r="T35" s="145"/>
      <c r="U35" s="154"/>
      <c r="V35" s="146">
        <f t="shared" si="15"/>
        <v>84355.333333333343</v>
      </c>
      <c r="W35" s="147"/>
      <c r="X35" s="147"/>
      <c r="Y35" s="147">
        <v>5</v>
      </c>
      <c r="Z35" s="145">
        <f t="shared" si="9"/>
        <v>1966.3333333333333</v>
      </c>
      <c r="AA35" s="148"/>
      <c r="AB35" s="143">
        <f t="shared" si="10"/>
        <v>11</v>
      </c>
      <c r="AC35" s="145">
        <f t="shared" si="11"/>
        <v>25306.6</v>
      </c>
      <c r="AD35" s="149"/>
      <c r="AE35" s="150">
        <v>0.35</v>
      </c>
      <c r="AF35" s="145">
        <f t="shared" si="12"/>
        <v>29524.366666666669</v>
      </c>
      <c r="AG35" s="145">
        <f t="shared" si="16"/>
        <v>8435.5333333333347</v>
      </c>
      <c r="AH35" s="146">
        <f t="shared" si="13"/>
        <v>149588.16666666666</v>
      </c>
    </row>
    <row r="36" spans="1:35" ht="11.25">
      <c r="A36" s="138" t="s">
        <v>225</v>
      </c>
      <c r="B36" s="138" t="s">
        <v>197</v>
      </c>
      <c r="C36" s="139">
        <v>1</v>
      </c>
      <c r="D36" s="139" t="s">
        <v>199</v>
      </c>
      <c r="E36" s="138" t="s">
        <v>58</v>
      </c>
      <c r="F36" s="140">
        <v>89016</v>
      </c>
      <c r="G36" s="141">
        <f t="shared" si="5"/>
        <v>133524</v>
      </c>
      <c r="H36" s="140"/>
      <c r="I36" s="140"/>
      <c r="J36" s="141">
        <v>1</v>
      </c>
      <c r="K36" s="162">
        <v>1</v>
      </c>
      <c r="L36" s="162"/>
      <c r="M36" s="157"/>
      <c r="N36" s="143">
        <f t="shared" si="6"/>
        <v>0</v>
      </c>
      <c r="O36" s="143">
        <f t="shared" si="7"/>
        <v>7418</v>
      </c>
      <c r="P36" s="143">
        <f t="shared" si="8"/>
        <v>7418</v>
      </c>
      <c r="Q36" s="143">
        <f t="shared" si="14"/>
        <v>0</v>
      </c>
      <c r="R36" s="144"/>
      <c r="S36" s="145"/>
      <c r="T36" s="145"/>
      <c r="U36" s="154"/>
      <c r="V36" s="146">
        <f t="shared" si="15"/>
        <v>14836</v>
      </c>
      <c r="W36" s="147"/>
      <c r="X36" s="147"/>
      <c r="Y36" s="147">
        <v>1</v>
      </c>
      <c r="Z36" s="145">
        <f t="shared" si="9"/>
        <v>393.26666666666665</v>
      </c>
      <c r="AA36" s="148"/>
      <c r="AB36" s="143">
        <f t="shared" si="10"/>
        <v>2</v>
      </c>
      <c r="AC36" s="145">
        <f t="shared" si="11"/>
        <v>4450.8</v>
      </c>
      <c r="AD36" s="149">
        <v>29170</v>
      </c>
      <c r="AE36" s="150"/>
      <c r="AF36" s="145">
        <f t="shared" si="12"/>
        <v>0</v>
      </c>
      <c r="AG36" s="145">
        <f t="shared" si="16"/>
        <v>1483.6000000000001</v>
      </c>
      <c r="AH36" s="146">
        <f t="shared" si="13"/>
        <v>50333.666666666664</v>
      </c>
    </row>
    <row r="37" spans="1:35" ht="11.25">
      <c r="A37" s="138" t="s">
        <v>226</v>
      </c>
      <c r="B37" s="138" t="s">
        <v>197</v>
      </c>
      <c r="C37" s="139">
        <v>1</v>
      </c>
      <c r="D37" s="139" t="s">
        <v>199</v>
      </c>
      <c r="E37" s="138" t="s">
        <v>227</v>
      </c>
      <c r="F37" s="140">
        <v>89016</v>
      </c>
      <c r="G37" s="141">
        <f t="shared" si="5"/>
        <v>133524</v>
      </c>
      <c r="H37" s="140"/>
      <c r="I37" s="140"/>
      <c r="J37" s="141">
        <v>20</v>
      </c>
      <c r="K37" s="141">
        <v>10</v>
      </c>
      <c r="L37" s="141"/>
      <c r="M37" s="142"/>
      <c r="N37" s="143">
        <f t="shared" si="6"/>
        <v>0</v>
      </c>
      <c r="O37" s="143">
        <f t="shared" si="7"/>
        <v>148360</v>
      </c>
      <c r="P37" s="143">
        <f t="shared" si="8"/>
        <v>74180</v>
      </c>
      <c r="Q37" s="143">
        <f t="shared" si="14"/>
        <v>0</v>
      </c>
      <c r="R37" s="144">
        <v>0.4</v>
      </c>
      <c r="S37" s="145"/>
      <c r="T37" s="145">
        <v>15</v>
      </c>
      <c r="U37" s="143">
        <v>5</v>
      </c>
      <c r="V37" s="146">
        <f t="shared" si="15"/>
        <v>230405.33333333334</v>
      </c>
      <c r="W37" s="147">
        <v>10618</v>
      </c>
      <c r="X37" s="147"/>
      <c r="Y37" s="147">
        <v>10</v>
      </c>
      <c r="Z37" s="145">
        <f t="shared" si="9"/>
        <v>3932.6666666666665</v>
      </c>
      <c r="AA37" s="148"/>
      <c r="AB37" s="143">
        <f t="shared" si="10"/>
        <v>30</v>
      </c>
      <c r="AC37" s="145">
        <f t="shared" si="11"/>
        <v>66762</v>
      </c>
      <c r="AD37" s="149"/>
      <c r="AE37" s="150">
        <v>0.35</v>
      </c>
      <c r="AF37" s="145">
        <f t="shared" si="12"/>
        <v>77889</v>
      </c>
      <c r="AG37" s="145">
        <f t="shared" si="16"/>
        <v>22254</v>
      </c>
      <c r="AH37" s="146">
        <f t="shared" si="13"/>
        <v>411861</v>
      </c>
    </row>
    <row r="38" spans="1:35" ht="11.25">
      <c r="A38" s="138" t="s">
        <v>201</v>
      </c>
      <c r="B38" s="138" t="s">
        <v>197</v>
      </c>
      <c r="C38" s="139">
        <v>1</v>
      </c>
      <c r="D38" s="139" t="s">
        <v>199</v>
      </c>
      <c r="E38" s="152" t="s">
        <v>228</v>
      </c>
      <c r="F38" s="140">
        <v>89016</v>
      </c>
      <c r="G38" s="141">
        <f t="shared" si="5"/>
        <v>133524</v>
      </c>
      <c r="H38" s="140"/>
      <c r="I38" s="141">
        <v>19</v>
      </c>
      <c r="J38" s="141"/>
      <c r="K38" s="141"/>
      <c r="L38" s="141"/>
      <c r="M38" s="142"/>
      <c r="N38" s="143">
        <f t="shared" si="6"/>
        <v>140942</v>
      </c>
      <c r="O38" s="143">
        <f t="shared" si="7"/>
        <v>0</v>
      </c>
      <c r="P38" s="143">
        <f t="shared" si="8"/>
        <v>0</v>
      </c>
      <c r="Q38" s="143">
        <f t="shared" si="14"/>
        <v>0</v>
      </c>
      <c r="R38" s="144">
        <v>0.4</v>
      </c>
      <c r="S38" s="145">
        <v>5</v>
      </c>
      <c r="T38" s="145"/>
      <c r="U38" s="154"/>
      <c r="V38" s="146">
        <f t="shared" si="15"/>
        <v>142908.33333333334</v>
      </c>
      <c r="W38" s="147">
        <v>4424</v>
      </c>
      <c r="X38" s="147"/>
      <c r="Y38" s="147"/>
      <c r="Z38" s="145">
        <f t="shared" si="9"/>
        <v>0</v>
      </c>
      <c r="AA38" s="148"/>
      <c r="AB38" s="143">
        <f t="shared" si="10"/>
        <v>19</v>
      </c>
      <c r="AC38" s="145">
        <f t="shared" si="11"/>
        <v>42282.6</v>
      </c>
      <c r="AD38" s="149"/>
      <c r="AE38" s="150"/>
      <c r="AF38" s="145">
        <f t="shared" si="12"/>
        <v>0</v>
      </c>
      <c r="AG38" s="145">
        <f t="shared" si="16"/>
        <v>14094.2</v>
      </c>
      <c r="AH38" s="146">
        <f t="shared" si="13"/>
        <v>203709.13333333336</v>
      </c>
    </row>
    <row r="39" spans="1:35" ht="11.25">
      <c r="A39" s="138" t="s">
        <v>229</v>
      </c>
      <c r="B39" s="138" t="s">
        <v>197</v>
      </c>
      <c r="C39" s="139">
        <v>1</v>
      </c>
      <c r="D39" s="139" t="s">
        <v>199</v>
      </c>
      <c r="E39" s="138" t="s">
        <v>121</v>
      </c>
      <c r="F39" s="140">
        <v>87600</v>
      </c>
      <c r="G39" s="141">
        <f t="shared" si="5"/>
        <v>131400</v>
      </c>
      <c r="H39" s="140"/>
      <c r="I39" s="140">
        <v>8</v>
      </c>
      <c r="J39" s="141">
        <v>15</v>
      </c>
      <c r="K39" s="162">
        <v>4</v>
      </c>
      <c r="L39" s="162">
        <v>4</v>
      </c>
      <c r="M39" s="157"/>
      <c r="N39" s="143">
        <f t="shared" si="6"/>
        <v>58400</v>
      </c>
      <c r="O39" s="143">
        <f t="shared" si="7"/>
        <v>109500</v>
      </c>
      <c r="P39" s="143">
        <f t="shared" si="8"/>
        <v>29200</v>
      </c>
      <c r="Q39" s="143">
        <f t="shared" si="14"/>
        <v>29200</v>
      </c>
      <c r="R39" s="144">
        <v>0.4</v>
      </c>
      <c r="S39" s="145">
        <v>7</v>
      </c>
      <c r="T39" s="145">
        <v>9</v>
      </c>
      <c r="U39" s="143">
        <v>2</v>
      </c>
      <c r="V39" s="146">
        <f t="shared" si="15"/>
        <v>233378.8</v>
      </c>
      <c r="W39" s="147">
        <v>5309</v>
      </c>
      <c r="X39" s="147"/>
      <c r="Y39" s="147">
        <v>8</v>
      </c>
      <c r="Z39" s="145">
        <f t="shared" si="9"/>
        <v>3146.1333333333332</v>
      </c>
      <c r="AA39" s="148"/>
      <c r="AB39" s="143">
        <f t="shared" si="10"/>
        <v>31</v>
      </c>
      <c r="AC39" s="145">
        <f t="shared" si="11"/>
        <v>67890</v>
      </c>
      <c r="AD39" s="149"/>
      <c r="AE39" s="150">
        <v>0.35</v>
      </c>
      <c r="AF39" s="145">
        <f t="shared" si="12"/>
        <v>79205</v>
      </c>
      <c r="AG39" s="145">
        <f t="shared" si="16"/>
        <v>22630</v>
      </c>
      <c r="AH39" s="146">
        <f t="shared" si="13"/>
        <v>411558.93333333335</v>
      </c>
    </row>
    <row r="40" spans="1:35" ht="11.25">
      <c r="A40" s="138" t="s">
        <v>230</v>
      </c>
      <c r="B40" s="138" t="s">
        <v>197</v>
      </c>
      <c r="C40" s="139">
        <v>1</v>
      </c>
      <c r="D40" s="139" t="s">
        <v>199</v>
      </c>
      <c r="E40" s="138" t="s">
        <v>231</v>
      </c>
      <c r="F40" s="140">
        <v>86007</v>
      </c>
      <c r="G40" s="141">
        <f t="shared" si="5"/>
        <v>129010.5</v>
      </c>
      <c r="H40" s="140"/>
      <c r="I40" s="140"/>
      <c r="J40" s="141">
        <v>26</v>
      </c>
      <c r="K40" s="141">
        <v>3</v>
      </c>
      <c r="L40" s="141">
        <v>4</v>
      </c>
      <c r="M40" s="142"/>
      <c r="N40" s="143">
        <f t="shared" si="6"/>
        <v>0</v>
      </c>
      <c r="O40" s="143">
        <f t="shared" si="7"/>
        <v>186348.5</v>
      </c>
      <c r="P40" s="143">
        <f t="shared" si="8"/>
        <v>21501.75</v>
      </c>
      <c r="Q40" s="143">
        <f t="shared" si="14"/>
        <v>28669</v>
      </c>
      <c r="R40" s="144">
        <v>0.5</v>
      </c>
      <c r="S40" s="145"/>
      <c r="T40" s="145">
        <v>15</v>
      </c>
      <c r="U40" s="153">
        <v>1.5</v>
      </c>
      <c r="V40" s="146">
        <f t="shared" si="15"/>
        <v>244630.375</v>
      </c>
      <c r="W40" s="147">
        <v>5309</v>
      </c>
      <c r="X40" s="147"/>
      <c r="Y40" s="147">
        <v>10</v>
      </c>
      <c r="Z40" s="145">
        <f t="shared" si="9"/>
        <v>3932.6666666666665</v>
      </c>
      <c r="AA40" s="148"/>
      <c r="AB40" s="143">
        <f t="shared" si="10"/>
        <v>33</v>
      </c>
      <c r="AC40" s="145">
        <f t="shared" si="11"/>
        <v>70955.774999999994</v>
      </c>
      <c r="AD40" s="149"/>
      <c r="AE40" s="150">
        <v>0.35</v>
      </c>
      <c r="AF40" s="145">
        <f t="shared" si="12"/>
        <v>82781.737499999988</v>
      </c>
      <c r="AG40" s="145">
        <f t="shared" si="16"/>
        <v>23651.925000000003</v>
      </c>
      <c r="AH40" s="146">
        <f t="shared" si="13"/>
        <v>431261.47916666663</v>
      </c>
    </row>
    <row r="41" spans="1:35" ht="12.75">
      <c r="A41" s="138" t="s">
        <v>232</v>
      </c>
      <c r="B41" s="138" t="s">
        <v>197</v>
      </c>
      <c r="C41" s="139">
        <v>1</v>
      </c>
      <c r="D41" s="139" t="s">
        <v>199</v>
      </c>
      <c r="E41" s="163" t="s">
        <v>231</v>
      </c>
      <c r="F41" s="140">
        <v>86007</v>
      </c>
      <c r="G41" s="141">
        <f t="shared" si="5"/>
        <v>129010.5</v>
      </c>
      <c r="H41" s="140"/>
      <c r="I41" s="140"/>
      <c r="J41" s="141"/>
      <c r="K41" s="141">
        <v>2</v>
      </c>
      <c r="L41" s="141"/>
      <c r="M41" s="142"/>
      <c r="N41" s="143">
        <f t="shared" si="6"/>
        <v>0</v>
      </c>
      <c r="O41" s="143">
        <f t="shared" si="7"/>
        <v>0</v>
      </c>
      <c r="P41" s="143">
        <f t="shared" si="8"/>
        <v>14334.5</v>
      </c>
      <c r="Q41" s="143">
        <f t="shared" si="14"/>
        <v>0</v>
      </c>
      <c r="R41" s="164"/>
      <c r="S41" s="160"/>
      <c r="T41" s="160"/>
      <c r="U41" s="154"/>
      <c r="V41" s="146">
        <f t="shared" si="15"/>
        <v>14334.5</v>
      </c>
      <c r="W41" s="147"/>
      <c r="X41" s="147"/>
      <c r="Y41" s="147"/>
      <c r="Z41" s="145">
        <f t="shared" si="9"/>
        <v>0</v>
      </c>
      <c r="AA41" s="148"/>
      <c r="AB41" s="143">
        <f t="shared" si="10"/>
        <v>2</v>
      </c>
      <c r="AC41" s="145">
        <f t="shared" si="11"/>
        <v>4300.3499999999995</v>
      </c>
      <c r="AD41" s="149"/>
      <c r="AE41" s="164"/>
      <c r="AF41" s="145">
        <f t="shared" si="12"/>
        <v>0</v>
      </c>
      <c r="AG41" s="145">
        <f t="shared" si="16"/>
        <v>1433.45</v>
      </c>
      <c r="AH41" s="146">
        <f t="shared" si="13"/>
        <v>20068.3</v>
      </c>
      <c r="AI41" s="165"/>
    </row>
    <row r="42" spans="1:35" ht="11.25">
      <c r="A42" s="138" t="s">
        <v>233</v>
      </c>
      <c r="B42" s="138" t="s">
        <v>197</v>
      </c>
      <c r="C42" s="139" t="s">
        <v>234</v>
      </c>
      <c r="D42" s="139" t="s">
        <v>199</v>
      </c>
      <c r="E42" s="138" t="s">
        <v>101</v>
      </c>
      <c r="F42" s="140">
        <v>86007</v>
      </c>
      <c r="G42" s="141">
        <f t="shared" si="5"/>
        <v>129010.5</v>
      </c>
      <c r="H42" s="140"/>
      <c r="I42" s="140">
        <v>12</v>
      </c>
      <c r="J42" s="141">
        <v>15</v>
      </c>
      <c r="K42" s="141"/>
      <c r="L42" s="141">
        <v>2</v>
      </c>
      <c r="M42" s="142"/>
      <c r="N42" s="143">
        <f t="shared" si="6"/>
        <v>86007</v>
      </c>
      <c r="O42" s="143">
        <f t="shared" si="7"/>
        <v>107508.75</v>
      </c>
      <c r="P42" s="143">
        <f t="shared" si="8"/>
        <v>0</v>
      </c>
      <c r="Q42" s="143">
        <f t="shared" si="14"/>
        <v>14334.5</v>
      </c>
      <c r="R42" s="144">
        <v>0.5</v>
      </c>
      <c r="S42" s="145">
        <v>6</v>
      </c>
      <c r="T42" s="151">
        <v>12.5</v>
      </c>
      <c r="U42" s="154"/>
      <c r="V42" s="146">
        <f t="shared" si="15"/>
        <v>216944.54166666666</v>
      </c>
      <c r="W42" s="147">
        <v>5309</v>
      </c>
      <c r="X42" s="147"/>
      <c r="Y42" s="147">
        <v>11</v>
      </c>
      <c r="Z42" s="145">
        <f t="shared" si="9"/>
        <v>4325.9333333333334</v>
      </c>
      <c r="AA42" s="148"/>
      <c r="AB42" s="143">
        <f t="shared" si="10"/>
        <v>29</v>
      </c>
      <c r="AC42" s="145">
        <f t="shared" si="11"/>
        <v>62355.07499999999</v>
      </c>
      <c r="AD42" s="149"/>
      <c r="AE42" s="150"/>
      <c r="AF42" s="145">
        <f t="shared" si="12"/>
        <v>0</v>
      </c>
      <c r="AG42" s="145">
        <f t="shared" si="16"/>
        <v>20785.025000000001</v>
      </c>
      <c r="AH42" s="146">
        <f t="shared" si="13"/>
        <v>309719.57500000001</v>
      </c>
    </row>
    <row r="43" spans="1:35" ht="11.25">
      <c r="A43" s="138" t="s">
        <v>235</v>
      </c>
      <c r="B43" s="138" t="s">
        <v>197</v>
      </c>
      <c r="C43" s="139">
        <v>1</v>
      </c>
      <c r="D43" s="139" t="s">
        <v>199</v>
      </c>
      <c r="E43" s="138" t="s">
        <v>86</v>
      </c>
      <c r="F43" s="140">
        <v>86007</v>
      </c>
      <c r="G43" s="141">
        <f t="shared" si="5"/>
        <v>129010.5</v>
      </c>
      <c r="H43" s="140"/>
      <c r="I43" s="140">
        <v>3</v>
      </c>
      <c r="J43" s="141">
        <v>6</v>
      </c>
      <c r="K43" s="141">
        <v>4</v>
      </c>
      <c r="L43" s="141"/>
      <c r="M43" s="142"/>
      <c r="N43" s="143">
        <f t="shared" si="6"/>
        <v>21501.75</v>
      </c>
      <c r="O43" s="143">
        <f t="shared" si="7"/>
        <v>43003.5</v>
      </c>
      <c r="P43" s="143">
        <f t="shared" si="8"/>
        <v>28669</v>
      </c>
      <c r="Q43" s="143">
        <f t="shared" si="14"/>
        <v>0</v>
      </c>
      <c r="R43" s="144"/>
      <c r="S43" s="145"/>
      <c r="T43" s="145"/>
      <c r="U43" s="154"/>
      <c r="V43" s="146">
        <f t="shared" si="15"/>
        <v>93174.25</v>
      </c>
      <c r="W43" s="147">
        <v>10618</v>
      </c>
      <c r="X43" s="147"/>
      <c r="Y43" s="147">
        <v>9</v>
      </c>
      <c r="Z43" s="145">
        <f t="shared" si="9"/>
        <v>3539.3999999999996</v>
      </c>
      <c r="AA43" s="148"/>
      <c r="AB43" s="143">
        <f t="shared" si="10"/>
        <v>13</v>
      </c>
      <c r="AC43" s="145">
        <f t="shared" si="11"/>
        <v>27952.274999999998</v>
      </c>
      <c r="AD43" s="149"/>
      <c r="AE43" s="150"/>
      <c r="AF43" s="145">
        <f t="shared" si="12"/>
        <v>0</v>
      </c>
      <c r="AG43" s="145">
        <f t="shared" si="16"/>
        <v>9317.4250000000011</v>
      </c>
      <c r="AH43" s="146">
        <f t="shared" si="13"/>
        <v>144601.34999999998</v>
      </c>
    </row>
    <row r="44" spans="1:35" ht="11.25">
      <c r="A44" s="138" t="s">
        <v>236</v>
      </c>
      <c r="B44" s="138" t="s">
        <v>197</v>
      </c>
      <c r="C44" s="139">
        <v>1</v>
      </c>
      <c r="D44" s="139" t="s">
        <v>199</v>
      </c>
      <c r="E44" s="163" t="s">
        <v>64</v>
      </c>
      <c r="F44" s="140">
        <v>84769</v>
      </c>
      <c r="G44" s="141">
        <f t="shared" si="5"/>
        <v>127153.5</v>
      </c>
      <c r="H44" s="140"/>
      <c r="I44" s="140"/>
      <c r="J44" s="141"/>
      <c r="K44" s="155"/>
      <c r="L44" s="155"/>
      <c r="M44" s="142"/>
      <c r="N44" s="143">
        <f t="shared" si="6"/>
        <v>0</v>
      </c>
      <c r="O44" s="143">
        <f t="shared" si="7"/>
        <v>0</v>
      </c>
      <c r="P44" s="143">
        <f t="shared" si="8"/>
        <v>0</v>
      </c>
      <c r="Q44" s="143">
        <f t="shared" si="14"/>
        <v>0</v>
      </c>
      <c r="R44" s="144"/>
      <c r="S44" s="145"/>
      <c r="T44" s="160"/>
      <c r="U44" s="154"/>
      <c r="V44" s="146">
        <f t="shared" si="15"/>
        <v>0</v>
      </c>
      <c r="W44" s="147">
        <v>10618</v>
      </c>
      <c r="X44" s="147"/>
      <c r="Y44" s="147"/>
      <c r="Z44" s="145">
        <f t="shared" si="9"/>
        <v>0</v>
      </c>
      <c r="AA44" s="148"/>
      <c r="AB44" s="143">
        <f t="shared" si="10"/>
        <v>0</v>
      </c>
      <c r="AC44" s="145">
        <f t="shared" si="11"/>
        <v>0</v>
      </c>
      <c r="AD44" s="149"/>
      <c r="AE44" s="150"/>
      <c r="AF44" s="145">
        <f t="shared" si="12"/>
        <v>0</v>
      </c>
      <c r="AG44" s="145">
        <f t="shared" si="16"/>
        <v>0</v>
      </c>
      <c r="AH44" s="146">
        <f t="shared" si="13"/>
        <v>10618</v>
      </c>
    </row>
    <row r="45" spans="1:35" ht="11.25">
      <c r="A45" s="138" t="s">
        <v>196</v>
      </c>
      <c r="B45" s="138" t="s">
        <v>197</v>
      </c>
      <c r="C45" s="139">
        <v>2</v>
      </c>
      <c r="D45" s="139" t="s">
        <v>199</v>
      </c>
      <c r="E45" s="138" t="s">
        <v>237</v>
      </c>
      <c r="F45" s="140">
        <v>91317</v>
      </c>
      <c r="G45" s="141">
        <f t="shared" si="5"/>
        <v>136975.5</v>
      </c>
      <c r="H45" s="140"/>
      <c r="I45" s="140"/>
      <c r="J45" s="141">
        <v>3</v>
      </c>
      <c r="K45" s="141">
        <v>4</v>
      </c>
      <c r="L45" s="141">
        <v>4</v>
      </c>
      <c r="M45" s="142"/>
      <c r="N45" s="143">
        <f t="shared" si="6"/>
        <v>0</v>
      </c>
      <c r="O45" s="143">
        <f t="shared" si="7"/>
        <v>22829.25</v>
      </c>
      <c r="P45" s="143">
        <f t="shared" si="8"/>
        <v>30439</v>
      </c>
      <c r="Q45" s="143">
        <f t="shared" si="14"/>
        <v>30439</v>
      </c>
      <c r="R45" s="144">
        <v>0.5</v>
      </c>
      <c r="S45" s="145"/>
      <c r="T45" s="151">
        <v>1.5</v>
      </c>
      <c r="U45" s="143">
        <v>2</v>
      </c>
      <c r="V45" s="146">
        <f t="shared" si="15"/>
        <v>85427.791666666672</v>
      </c>
      <c r="W45" s="147"/>
      <c r="X45" s="147"/>
      <c r="Y45" s="147"/>
      <c r="Z45" s="145">
        <f t="shared" si="9"/>
        <v>0</v>
      </c>
      <c r="AA45" s="148"/>
      <c r="AB45" s="143">
        <f t="shared" si="10"/>
        <v>11</v>
      </c>
      <c r="AC45" s="145">
        <f t="shared" si="11"/>
        <v>25112.174999999996</v>
      </c>
      <c r="AD45" s="149"/>
      <c r="AE45" s="150"/>
      <c r="AF45" s="145">
        <f t="shared" si="12"/>
        <v>0</v>
      </c>
      <c r="AG45" s="145">
        <f t="shared" si="16"/>
        <v>8370.7250000000004</v>
      </c>
      <c r="AH45" s="146">
        <f t="shared" si="13"/>
        <v>118910.69166666668</v>
      </c>
    </row>
    <row r="46" spans="1:35" ht="11.25">
      <c r="A46" s="138" t="s">
        <v>210</v>
      </c>
      <c r="B46" s="138" t="s">
        <v>197</v>
      </c>
      <c r="C46" s="139">
        <v>2</v>
      </c>
      <c r="D46" s="139" t="s">
        <v>199</v>
      </c>
      <c r="E46" s="138" t="s">
        <v>54</v>
      </c>
      <c r="F46" s="140">
        <v>88308</v>
      </c>
      <c r="G46" s="141">
        <f t="shared" si="5"/>
        <v>132462</v>
      </c>
      <c r="H46" s="140"/>
      <c r="I46" s="140"/>
      <c r="J46" s="141">
        <v>5</v>
      </c>
      <c r="K46" s="141">
        <v>5</v>
      </c>
      <c r="L46" s="141">
        <v>2</v>
      </c>
      <c r="M46" s="142"/>
      <c r="N46" s="143">
        <f t="shared" si="6"/>
        <v>0</v>
      </c>
      <c r="O46" s="143">
        <f t="shared" si="7"/>
        <v>36795</v>
      </c>
      <c r="P46" s="143">
        <f t="shared" si="8"/>
        <v>36795</v>
      </c>
      <c r="Q46" s="143">
        <f t="shared" si="14"/>
        <v>14718</v>
      </c>
      <c r="R46" s="144">
        <v>0.4</v>
      </c>
      <c r="S46" s="145"/>
      <c r="T46" s="151">
        <v>2.5</v>
      </c>
      <c r="U46" s="143">
        <v>2</v>
      </c>
      <c r="V46" s="146">
        <f t="shared" si="15"/>
        <v>90077.7</v>
      </c>
      <c r="W46" s="147">
        <v>10618</v>
      </c>
      <c r="X46" s="147">
        <v>3539</v>
      </c>
      <c r="Y46" s="147">
        <v>3</v>
      </c>
      <c r="Z46" s="145">
        <f t="shared" si="9"/>
        <v>1179.8</v>
      </c>
      <c r="AA46" s="148"/>
      <c r="AB46" s="143">
        <f t="shared" si="10"/>
        <v>12</v>
      </c>
      <c r="AC46" s="145">
        <f t="shared" si="11"/>
        <v>26492.399999999998</v>
      </c>
      <c r="AD46" s="149"/>
      <c r="AE46" s="150">
        <v>0.3</v>
      </c>
      <c r="AF46" s="145">
        <f t="shared" si="12"/>
        <v>26492.399999999998</v>
      </c>
      <c r="AG46" s="145">
        <f t="shared" si="16"/>
        <v>8830.8000000000011</v>
      </c>
      <c r="AH46" s="146">
        <f t="shared" si="13"/>
        <v>167230.09999999998</v>
      </c>
    </row>
    <row r="47" spans="1:35" ht="11.25">
      <c r="A47" s="138" t="s">
        <v>201</v>
      </c>
      <c r="B47" s="138" t="s">
        <v>197</v>
      </c>
      <c r="C47" s="139">
        <v>2</v>
      </c>
      <c r="D47" s="139" t="s">
        <v>199</v>
      </c>
      <c r="E47" s="138" t="s">
        <v>55</v>
      </c>
      <c r="F47" s="140">
        <v>86715</v>
      </c>
      <c r="G47" s="141">
        <f t="shared" si="5"/>
        <v>130072.5</v>
      </c>
      <c r="H47" s="140"/>
      <c r="I47" s="140">
        <v>22</v>
      </c>
      <c r="J47" s="141"/>
      <c r="K47" s="162"/>
      <c r="L47" s="162"/>
      <c r="M47" s="157"/>
      <c r="N47" s="143">
        <f t="shared" si="6"/>
        <v>158977.5</v>
      </c>
      <c r="O47" s="143">
        <f t="shared" si="7"/>
        <v>0</v>
      </c>
      <c r="P47" s="143">
        <f t="shared" si="8"/>
        <v>0</v>
      </c>
      <c r="Q47" s="143">
        <f t="shared" si="14"/>
        <v>0</v>
      </c>
      <c r="R47" s="144">
        <v>0.4</v>
      </c>
      <c r="S47" s="145">
        <v>6</v>
      </c>
      <c r="T47" s="145"/>
      <c r="U47" s="154"/>
      <c r="V47" s="146">
        <f t="shared" si="15"/>
        <v>161337.1</v>
      </c>
      <c r="W47" s="147">
        <v>4424</v>
      </c>
      <c r="X47" s="147"/>
      <c r="Y47" s="147">
        <v>22</v>
      </c>
      <c r="Z47" s="145">
        <f t="shared" si="9"/>
        <v>8651.8666666666668</v>
      </c>
      <c r="AA47" s="148"/>
      <c r="AB47" s="143">
        <f t="shared" si="10"/>
        <v>22</v>
      </c>
      <c r="AC47" s="145">
        <f t="shared" si="11"/>
        <v>47693.25</v>
      </c>
      <c r="AD47" s="149"/>
      <c r="AE47" s="150">
        <v>0.3</v>
      </c>
      <c r="AF47" s="145">
        <f t="shared" si="12"/>
        <v>47693.25</v>
      </c>
      <c r="AG47" s="145">
        <f t="shared" si="16"/>
        <v>15897.75</v>
      </c>
      <c r="AH47" s="146">
        <f t="shared" si="13"/>
        <v>285697.21666666667</v>
      </c>
    </row>
    <row r="48" spans="1:35" ht="11.25">
      <c r="A48" s="138" t="s">
        <v>235</v>
      </c>
      <c r="B48" s="138" t="s">
        <v>197</v>
      </c>
      <c r="C48" s="139">
        <v>2</v>
      </c>
      <c r="D48" s="139" t="s">
        <v>199</v>
      </c>
      <c r="E48" s="138" t="s">
        <v>72</v>
      </c>
      <c r="F48" s="140">
        <v>86715</v>
      </c>
      <c r="G48" s="141">
        <f t="shared" si="5"/>
        <v>130072.5</v>
      </c>
      <c r="H48" s="140"/>
      <c r="I48" s="140">
        <v>1</v>
      </c>
      <c r="J48" s="141">
        <v>4</v>
      </c>
      <c r="K48" s="141">
        <v>2</v>
      </c>
      <c r="L48" s="141"/>
      <c r="M48" s="142"/>
      <c r="N48" s="143">
        <f t="shared" si="6"/>
        <v>7226.25</v>
      </c>
      <c r="O48" s="143">
        <f t="shared" si="7"/>
        <v>28905</v>
      </c>
      <c r="P48" s="143">
        <f t="shared" si="8"/>
        <v>14452.5</v>
      </c>
      <c r="Q48" s="143">
        <f t="shared" si="14"/>
        <v>0</v>
      </c>
      <c r="R48" s="144"/>
      <c r="S48" s="145"/>
      <c r="T48" s="145"/>
      <c r="U48" s="154"/>
      <c r="V48" s="146">
        <f t="shared" si="15"/>
        <v>50583.75</v>
      </c>
      <c r="W48" s="147"/>
      <c r="X48" s="147"/>
      <c r="Y48" s="147">
        <v>4</v>
      </c>
      <c r="Z48" s="145">
        <f t="shared" si="9"/>
        <v>1573.0666666666666</v>
      </c>
      <c r="AA48" s="148"/>
      <c r="AB48" s="143">
        <f t="shared" si="10"/>
        <v>7</v>
      </c>
      <c r="AC48" s="145">
        <f t="shared" si="11"/>
        <v>15175.125</v>
      </c>
      <c r="AD48" s="149"/>
      <c r="AE48" s="150">
        <v>0.3</v>
      </c>
      <c r="AF48" s="145">
        <f t="shared" si="12"/>
        <v>15175.125</v>
      </c>
      <c r="AG48" s="145">
        <f t="shared" si="16"/>
        <v>5058.375</v>
      </c>
      <c r="AH48" s="146">
        <f t="shared" si="13"/>
        <v>87565.441666666666</v>
      </c>
    </row>
    <row r="49" spans="1:35" ht="12.75">
      <c r="A49" s="138" t="s">
        <v>238</v>
      </c>
      <c r="B49" s="138" t="s">
        <v>197</v>
      </c>
      <c r="C49" s="139">
        <v>2</v>
      </c>
      <c r="D49" s="139" t="s">
        <v>199</v>
      </c>
      <c r="E49" s="138" t="s">
        <v>91</v>
      </c>
      <c r="F49" s="140">
        <v>85123</v>
      </c>
      <c r="G49" s="141">
        <f>F49*1.5</f>
        <v>127684.5</v>
      </c>
      <c r="H49" s="140"/>
      <c r="I49" s="140">
        <v>4</v>
      </c>
      <c r="J49" s="141">
        <v>1</v>
      </c>
      <c r="K49" s="141"/>
      <c r="L49" s="141"/>
      <c r="M49" s="142"/>
      <c r="N49" s="143">
        <f>G49/18*I49</f>
        <v>28374.333333333332</v>
      </c>
      <c r="O49" s="143">
        <f>G49/18*J49</f>
        <v>7093.583333333333</v>
      </c>
      <c r="P49" s="143">
        <f t="shared" si="8"/>
        <v>0</v>
      </c>
      <c r="Q49" s="143">
        <f>G49/18*L49</f>
        <v>0</v>
      </c>
      <c r="R49" s="144"/>
      <c r="S49" s="160"/>
      <c r="T49" s="160"/>
      <c r="U49" s="154"/>
      <c r="V49" s="146">
        <f>(N49+O49+P49+M49+Q49)+((17697*R49)/18*(S49+T49+U49))</f>
        <v>35467.916666666664</v>
      </c>
      <c r="W49" s="147"/>
      <c r="X49" s="147"/>
      <c r="Y49" s="147">
        <v>3</v>
      </c>
      <c r="Z49" s="145">
        <f>(17697*40%)/18*Y49</f>
        <v>1179.8</v>
      </c>
      <c r="AA49" s="148"/>
      <c r="AB49" s="143">
        <f>I49+J49+K49+L49</f>
        <v>5</v>
      </c>
      <c r="AC49" s="145">
        <f t="shared" si="11"/>
        <v>10640.375</v>
      </c>
      <c r="AD49" s="149"/>
      <c r="AE49" s="150"/>
      <c r="AF49" s="145">
        <f t="shared" si="12"/>
        <v>0</v>
      </c>
      <c r="AG49" s="145">
        <f>(N49+O49+P49+Q49)*10%</f>
        <v>3546.7916666666665</v>
      </c>
      <c r="AH49" s="146">
        <f>V49+W49+X49+Z49+AA49+AC49+AD49+AF49+AG49</f>
        <v>50834.883333333331</v>
      </c>
      <c r="AI49" s="165"/>
    </row>
    <row r="50" spans="1:35" ht="11.25">
      <c r="A50" s="138" t="s">
        <v>239</v>
      </c>
      <c r="B50" s="138" t="s">
        <v>197</v>
      </c>
      <c r="C50" s="139">
        <v>2</v>
      </c>
      <c r="D50" s="139" t="s">
        <v>199</v>
      </c>
      <c r="E50" s="138" t="s">
        <v>61</v>
      </c>
      <c r="F50" s="140">
        <v>83884</v>
      </c>
      <c r="G50" s="141">
        <f t="shared" si="5"/>
        <v>125826</v>
      </c>
      <c r="H50" s="140"/>
      <c r="I50" s="140"/>
      <c r="J50" s="141">
        <v>15</v>
      </c>
      <c r="K50" s="141">
        <v>7</v>
      </c>
      <c r="L50" s="141"/>
      <c r="M50" s="142"/>
      <c r="N50" s="143">
        <f t="shared" si="6"/>
        <v>0</v>
      </c>
      <c r="O50" s="143">
        <f t="shared" si="7"/>
        <v>104855</v>
      </c>
      <c r="P50" s="143">
        <f t="shared" si="8"/>
        <v>48932.333333333328</v>
      </c>
      <c r="Q50" s="143">
        <f t="shared" si="14"/>
        <v>0</v>
      </c>
      <c r="R50" s="144"/>
      <c r="S50" s="145"/>
      <c r="T50" s="145"/>
      <c r="U50" s="154"/>
      <c r="V50" s="146">
        <f t="shared" si="15"/>
        <v>153787.33333333331</v>
      </c>
      <c r="W50" s="147"/>
      <c r="X50" s="147"/>
      <c r="Y50" s="147">
        <v>6</v>
      </c>
      <c r="Z50" s="145">
        <f t="shared" si="9"/>
        <v>2359.6</v>
      </c>
      <c r="AA50" s="148"/>
      <c r="AB50" s="143">
        <f t="shared" si="10"/>
        <v>22</v>
      </c>
      <c r="AC50" s="145">
        <f t="shared" si="11"/>
        <v>46136.2</v>
      </c>
      <c r="AD50" s="149"/>
      <c r="AE50" s="150"/>
      <c r="AF50" s="145">
        <f t="shared" si="12"/>
        <v>0</v>
      </c>
      <c r="AG50" s="145">
        <f t="shared" si="16"/>
        <v>15378.733333333332</v>
      </c>
      <c r="AH50" s="146">
        <f t="shared" si="13"/>
        <v>217661.86666666664</v>
      </c>
    </row>
    <row r="51" spans="1:35" ht="11.25">
      <c r="A51" s="138" t="s">
        <v>201</v>
      </c>
      <c r="B51" s="138" t="s">
        <v>197</v>
      </c>
      <c r="C51" s="139">
        <v>2</v>
      </c>
      <c r="D51" s="139" t="s">
        <v>240</v>
      </c>
      <c r="E51" s="138" t="s">
        <v>241</v>
      </c>
      <c r="F51" s="140">
        <v>81229</v>
      </c>
      <c r="G51" s="141">
        <f>F51*1.5</f>
        <v>121843.5</v>
      </c>
      <c r="H51" s="140"/>
      <c r="I51" s="140">
        <v>22</v>
      </c>
      <c r="J51" s="141">
        <v>1</v>
      </c>
      <c r="K51" s="141"/>
      <c r="L51" s="141"/>
      <c r="M51" s="161"/>
      <c r="N51" s="143">
        <f>G51/18*I51</f>
        <v>148919.83333333331</v>
      </c>
      <c r="O51" s="143">
        <f>G51/18*J51</f>
        <v>6769.083333333333</v>
      </c>
      <c r="P51" s="143">
        <f t="shared" si="8"/>
        <v>0</v>
      </c>
      <c r="Q51" s="143">
        <f>G51/18*L51</f>
        <v>0</v>
      </c>
      <c r="R51" s="144">
        <v>0.4</v>
      </c>
      <c r="S51" s="145">
        <v>12</v>
      </c>
      <c r="T51" s="145"/>
      <c r="U51" s="154"/>
      <c r="V51" s="146">
        <f>(N51+O51+P51+M51+Q51)+((17697*R51)/18*(S51+T51+U51))</f>
        <v>160408.11666666667</v>
      </c>
      <c r="W51" s="147">
        <v>8848</v>
      </c>
      <c r="X51" s="147"/>
      <c r="Y51" s="147"/>
      <c r="Z51" s="145">
        <f>(17697*40%)/18*Y51</f>
        <v>0</v>
      </c>
      <c r="AA51" s="148"/>
      <c r="AB51" s="143">
        <f>I51+J51+K51+L51</f>
        <v>23</v>
      </c>
      <c r="AC51" s="145">
        <f t="shared" si="11"/>
        <v>46706.674999999996</v>
      </c>
      <c r="AD51" s="149"/>
      <c r="AE51" s="150">
        <v>0.3</v>
      </c>
      <c r="AF51" s="145">
        <f t="shared" si="12"/>
        <v>46706.674999999996</v>
      </c>
      <c r="AG51" s="145">
        <f>(N51+O51+P51+Q51)*10%</f>
        <v>15568.891666666666</v>
      </c>
      <c r="AH51" s="146">
        <f>V51+W51+X51+Z51+AA51+AC51+AD51+AF51+AG51</f>
        <v>278238.35833333334</v>
      </c>
    </row>
    <row r="52" spans="1:35" ht="11.25">
      <c r="A52" s="138" t="s">
        <v>242</v>
      </c>
      <c r="B52" s="138" t="s">
        <v>197</v>
      </c>
      <c r="C52" s="139" t="s">
        <v>234</v>
      </c>
      <c r="D52" s="139" t="s">
        <v>199</v>
      </c>
      <c r="E52" s="138" t="s">
        <v>70</v>
      </c>
      <c r="F52" s="140">
        <v>83707</v>
      </c>
      <c r="G52" s="141">
        <f t="shared" si="5"/>
        <v>125560.5</v>
      </c>
      <c r="H52" s="140"/>
      <c r="I52" s="140"/>
      <c r="J52" s="141">
        <v>12</v>
      </c>
      <c r="K52" s="162">
        <v>4</v>
      </c>
      <c r="L52" s="162">
        <v>2</v>
      </c>
      <c r="M52" s="157"/>
      <c r="N52" s="143">
        <f t="shared" si="6"/>
        <v>0</v>
      </c>
      <c r="O52" s="143">
        <f t="shared" si="7"/>
        <v>83707</v>
      </c>
      <c r="P52" s="143">
        <f t="shared" si="8"/>
        <v>27902.333333333332</v>
      </c>
      <c r="Q52" s="143">
        <f t="shared" si="14"/>
        <v>13951.166666666666</v>
      </c>
      <c r="R52" s="144">
        <v>0.4</v>
      </c>
      <c r="S52" s="145"/>
      <c r="T52" s="145">
        <v>9</v>
      </c>
      <c r="U52" s="143">
        <v>2</v>
      </c>
      <c r="V52" s="146">
        <f t="shared" si="15"/>
        <v>129886.43333333333</v>
      </c>
      <c r="W52" s="147"/>
      <c r="X52" s="147">
        <v>3539</v>
      </c>
      <c r="Y52" s="147">
        <v>2</v>
      </c>
      <c r="Z52" s="145">
        <f t="shared" si="9"/>
        <v>786.5333333333333</v>
      </c>
      <c r="AA52" s="148"/>
      <c r="AB52" s="143">
        <f t="shared" si="10"/>
        <v>18</v>
      </c>
      <c r="AC52" s="145">
        <f t="shared" si="11"/>
        <v>37668.149999999994</v>
      </c>
      <c r="AD52" s="149"/>
      <c r="AE52" s="150"/>
      <c r="AF52" s="145">
        <f t="shared" si="12"/>
        <v>0</v>
      </c>
      <c r="AG52" s="145">
        <f t="shared" si="16"/>
        <v>12556.050000000001</v>
      </c>
      <c r="AH52" s="146">
        <f t="shared" si="13"/>
        <v>184436.16666666666</v>
      </c>
    </row>
    <row r="53" spans="1:35" ht="11.25">
      <c r="A53" s="138" t="s">
        <v>217</v>
      </c>
      <c r="B53" s="138" t="s">
        <v>197</v>
      </c>
      <c r="C53" s="139" t="s">
        <v>234</v>
      </c>
      <c r="D53" s="139" t="s">
        <v>199</v>
      </c>
      <c r="E53" s="138" t="s">
        <v>243</v>
      </c>
      <c r="F53" s="140">
        <v>81229</v>
      </c>
      <c r="G53" s="141">
        <f t="shared" si="5"/>
        <v>121843.5</v>
      </c>
      <c r="H53" s="140"/>
      <c r="I53" s="140"/>
      <c r="J53" s="141">
        <v>18</v>
      </c>
      <c r="K53" s="141">
        <v>2</v>
      </c>
      <c r="L53" s="141">
        <v>5</v>
      </c>
      <c r="M53" s="142"/>
      <c r="N53" s="143">
        <f t="shared" si="6"/>
        <v>0</v>
      </c>
      <c r="O53" s="143">
        <f t="shared" si="7"/>
        <v>121843.5</v>
      </c>
      <c r="P53" s="143">
        <f t="shared" si="8"/>
        <v>13538.166666666666</v>
      </c>
      <c r="Q53" s="143">
        <f t="shared" si="14"/>
        <v>33845.416666666664</v>
      </c>
      <c r="R53" s="144"/>
      <c r="S53" s="145"/>
      <c r="T53" s="145"/>
      <c r="U53" s="154"/>
      <c r="V53" s="146">
        <f t="shared" si="15"/>
        <v>169227.08333333331</v>
      </c>
      <c r="W53" s="147">
        <v>5309</v>
      </c>
      <c r="X53" s="147"/>
      <c r="Y53" s="147">
        <v>6</v>
      </c>
      <c r="Z53" s="145">
        <f t="shared" si="9"/>
        <v>2359.6</v>
      </c>
      <c r="AA53" s="148"/>
      <c r="AB53" s="143">
        <f t="shared" si="10"/>
        <v>25</v>
      </c>
      <c r="AC53" s="145">
        <f t="shared" si="11"/>
        <v>50768.125</v>
      </c>
      <c r="AD53" s="149"/>
      <c r="AE53" s="150"/>
      <c r="AF53" s="145">
        <f t="shared" si="12"/>
        <v>0</v>
      </c>
      <c r="AG53" s="145">
        <f t="shared" si="16"/>
        <v>16922.708333333332</v>
      </c>
      <c r="AH53" s="146">
        <f t="shared" si="13"/>
        <v>244586.51666666666</v>
      </c>
    </row>
    <row r="54" spans="1:35" ht="11.25">
      <c r="A54" s="138" t="s">
        <v>242</v>
      </c>
      <c r="B54" s="138" t="s">
        <v>197</v>
      </c>
      <c r="C54" s="139" t="s">
        <v>234</v>
      </c>
      <c r="D54" s="139" t="s">
        <v>199</v>
      </c>
      <c r="E54" s="138" t="s">
        <v>227</v>
      </c>
      <c r="F54" s="140">
        <v>81229</v>
      </c>
      <c r="G54" s="141">
        <f>F54*1.5</f>
        <v>121843.5</v>
      </c>
      <c r="H54" s="140"/>
      <c r="I54" s="140"/>
      <c r="J54" s="141"/>
      <c r="K54" s="141">
        <v>5</v>
      </c>
      <c r="L54" s="141"/>
      <c r="M54" s="142"/>
      <c r="N54" s="143">
        <f t="shared" si="6"/>
        <v>0</v>
      </c>
      <c r="O54" s="143">
        <f t="shared" si="7"/>
        <v>0</v>
      </c>
      <c r="P54" s="143">
        <f t="shared" si="8"/>
        <v>33845.416666666664</v>
      </c>
      <c r="Q54" s="143">
        <f>G54/18*L54</f>
        <v>0</v>
      </c>
      <c r="R54" s="144">
        <v>0.4</v>
      </c>
      <c r="S54" s="145"/>
      <c r="T54" s="145"/>
      <c r="U54" s="153">
        <v>2.5</v>
      </c>
      <c r="V54" s="146">
        <f>(N54+O54+P54+M54+Q54)+((17697*R54)/18*(S54+T54+U54))</f>
        <v>34828.583333333328</v>
      </c>
      <c r="W54" s="147"/>
      <c r="X54" s="147"/>
      <c r="Y54" s="147">
        <v>3</v>
      </c>
      <c r="Z54" s="145">
        <f>(17697*40%)/18*Y54</f>
        <v>1179.8</v>
      </c>
      <c r="AA54" s="148"/>
      <c r="AB54" s="143">
        <f>I54+J54+K54+L54</f>
        <v>5</v>
      </c>
      <c r="AC54" s="145">
        <f t="shared" si="11"/>
        <v>10153.625</v>
      </c>
      <c r="AD54" s="149"/>
      <c r="AE54" s="150"/>
      <c r="AF54" s="145">
        <f t="shared" si="12"/>
        <v>0</v>
      </c>
      <c r="AG54" s="145">
        <f>(N54+O54+P54+Q54)*10%</f>
        <v>3384.5416666666665</v>
      </c>
      <c r="AH54" s="146">
        <f>V54+W54+X54+Z54+AA54+AC54+AD54+AF54+AG54</f>
        <v>49546.549999999996</v>
      </c>
    </row>
    <row r="55" spans="1:35" ht="11.25">
      <c r="A55" s="138" t="s">
        <v>205</v>
      </c>
      <c r="B55" s="138" t="s">
        <v>197</v>
      </c>
      <c r="C55" s="139" t="s">
        <v>234</v>
      </c>
      <c r="D55" s="139" t="s">
        <v>199</v>
      </c>
      <c r="E55" s="138" t="s">
        <v>54</v>
      </c>
      <c r="F55" s="140">
        <v>81229</v>
      </c>
      <c r="G55" s="141">
        <f>F55*1.5</f>
        <v>121843.5</v>
      </c>
      <c r="H55" s="140"/>
      <c r="I55" s="140"/>
      <c r="J55" s="141">
        <v>2</v>
      </c>
      <c r="K55" s="141"/>
      <c r="L55" s="141">
        <v>2</v>
      </c>
      <c r="M55" s="142"/>
      <c r="N55" s="143">
        <f t="shared" si="6"/>
        <v>0</v>
      </c>
      <c r="O55" s="143">
        <f t="shared" si="7"/>
        <v>13538.166666666666</v>
      </c>
      <c r="P55" s="143">
        <f t="shared" si="8"/>
        <v>0</v>
      </c>
      <c r="Q55" s="143">
        <f>G55/18*L55</f>
        <v>13538.166666666666</v>
      </c>
      <c r="R55" s="144">
        <v>0.4</v>
      </c>
      <c r="S55" s="145"/>
      <c r="T55" s="145">
        <v>2</v>
      </c>
      <c r="U55" s="143"/>
      <c r="V55" s="146">
        <f>(N55+O55+P55+M55+Q55)+((17697*R55)/18*(S55+T55+U55))</f>
        <v>27862.866666666665</v>
      </c>
      <c r="W55" s="147"/>
      <c r="X55" s="147"/>
      <c r="Y55" s="147"/>
      <c r="Z55" s="145">
        <f>(17697*40%)/18*Y55</f>
        <v>0</v>
      </c>
      <c r="AA55" s="148"/>
      <c r="AB55" s="143">
        <f>I55+J55+K55+L55</f>
        <v>4</v>
      </c>
      <c r="AC55" s="145">
        <f t="shared" si="11"/>
        <v>8122.9</v>
      </c>
      <c r="AD55" s="149"/>
      <c r="AE55" s="150"/>
      <c r="AF55" s="145">
        <f t="shared" si="12"/>
        <v>0</v>
      </c>
      <c r="AG55" s="145">
        <f>(N55+O55+P55+Q55)*10%</f>
        <v>2707.6333333333332</v>
      </c>
      <c r="AH55" s="146">
        <f>V55+W55+X55+Z55+AA55+AC55+AD55+AF55+AG55</f>
        <v>38693.399999999994</v>
      </c>
    </row>
    <row r="56" spans="1:35" ht="11.25">
      <c r="A56" s="138" t="s">
        <v>244</v>
      </c>
      <c r="B56" s="138" t="s">
        <v>197</v>
      </c>
      <c r="C56" s="139" t="s">
        <v>234</v>
      </c>
      <c r="D56" s="139" t="s">
        <v>199</v>
      </c>
      <c r="E56" s="138" t="s">
        <v>245</v>
      </c>
      <c r="F56" s="140">
        <v>79460</v>
      </c>
      <c r="G56" s="141">
        <f>F56*1.5</f>
        <v>119190</v>
      </c>
      <c r="H56" s="140"/>
      <c r="I56" s="140"/>
      <c r="J56" s="141">
        <v>2</v>
      </c>
      <c r="K56" s="141">
        <v>2</v>
      </c>
      <c r="L56" s="141"/>
      <c r="M56" s="142"/>
      <c r="N56" s="143">
        <f t="shared" si="6"/>
        <v>0</v>
      </c>
      <c r="O56" s="143">
        <f t="shared" si="7"/>
        <v>13243.333333333334</v>
      </c>
      <c r="P56" s="143">
        <f t="shared" si="8"/>
        <v>13243.333333333334</v>
      </c>
      <c r="Q56" s="143">
        <f>G56/18*L56</f>
        <v>0</v>
      </c>
      <c r="R56" s="144"/>
      <c r="S56" s="145"/>
      <c r="T56" s="151"/>
      <c r="U56" s="154"/>
      <c r="V56" s="146">
        <f>(N56+O56+P56+M56+Q56)+((17697*R56)/18*(S56+T56+U56))</f>
        <v>26486.666666666668</v>
      </c>
      <c r="W56" s="147"/>
      <c r="X56" s="147"/>
      <c r="Y56" s="147"/>
      <c r="Z56" s="145">
        <f>(17697*40%)/18*Y56</f>
        <v>0</v>
      </c>
      <c r="AA56" s="148"/>
      <c r="AB56" s="143">
        <f>I56+J56+K56+L56</f>
        <v>4</v>
      </c>
      <c r="AC56" s="145">
        <f t="shared" si="11"/>
        <v>7946</v>
      </c>
      <c r="AD56" s="149"/>
      <c r="AE56" s="150"/>
      <c r="AF56" s="145">
        <f t="shared" si="12"/>
        <v>0</v>
      </c>
      <c r="AG56" s="145">
        <f>(N56+O56+P56+Q56)*10%</f>
        <v>2648.666666666667</v>
      </c>
      <c r="AH56" s="146">
        <f>V56+W56+X56+Z56+AA56+AC56+AD56+AF56+AG56</f>
        <v>37081.333333333336</v>
      </c>
    </row>
    <row r="57" spans="1:35" ht="11.25">
      <c r="A57" s="166" t="s">
        <v>246</v>
      </c>
      <c r="B57" s="138" t="s">
        <v>197</v>
      </c>
      <c r="C57" s="139" t="s">
        <v>234</v>
      </c>
      <c r="D57" s="139" t="s">
        <v>199</v>
      </c>
      <c r="E57" s="138" t="s">
        <v>247</v>
      </c>
      <c r="F57" s="140">
        <v>79460</v>
      </c>
      <c r="G57" s="141">
        <f>F57*1.5</f>
        <v>119190</v>
      </c>
      <c r="H57" s="140"/>
      <c r="I57" s="140">
        <v>20</v>
      </c>
      <c r="J57" s="141"/>
      <c r="K57" s="141"/>
      <c r="L57" s="141"/>
      <c r="M57" s="161"/>
      <c r="N57" s="143">
        <f t="shared" si="6"/>
        <v>132433.33333333334</v>
      </c>
      <c r="O57" s="143">
        <f t="shared" si="7"/>
        <v>0</v>
      </c>
      <c r="P57" s="143">
        <f t="shared" si="8"/>
        <v>0</v>
      </c>
      <c r="Q57" s="143">
        <f>G57/18*L57</f>
        <v>0</v>
      </c>
      <c r="R57" s="144">
        <v>0.4</v>
      </c>
      <c r="S57" s="145">
        <v>6</v>
      </c>
      <c r="T57" s="160"/>
      <c r="U57" s="154"/>
      <c r="V57" s="146">
        <f>(N57+O57+P57+M57+Q57)+((17697*R57)/18*(S57+T57+U57))</f>
        <v>134792.93333333335</v>
      </c>
      <c r="W57" s="147">
        <v>4424</v>
      </c>
      <c r="X57" s="147"/>
      <c r="Y57" s="147"/>
      <c r="Z57" s="145">
        <f>(17697*40%)/18*Y57</f>
        <v>0</v>
      </c>
      <c r="AA57" s="148"/>
      <c r="AB57" s="143">
        <f>I57+J57+K57+L57</f>
        <v>20</v>
      </c>
      <c r="AC57" s="145">
        <f t="shared" si="11"/>
        <v>39730</v>
      </c>
      <c r="AD57" s="149"/>
      <c r="AE57" s="150">
        <v>0.3</v>
      </c>
      <c r="AF57" s="145">
        <f t="shared" si="12"/>
        <v>39730</v>
      </c>
      <c r="AG57" s="145">
        <f>(N57+O57+P57+Q57)*10%</f>
        <v>13243.333333333336</v>
      </c>
      <c r="AH57" s="146">
        <f>V57+W57+X57+Z57+AA57+AC57+AD57+AF57+AG57</f>
        <v>231920.26666666669</v>
      </c>
    </row>
    <row r="58" spans="1:35" ht="11.25">
      <c r="A58" s="138" t="s">
        <v>246</v>
      </c>
      <c r="B58" s="138" t="s">
        <v>197</v>
      </c>
      <c r="C58" s="139" t="s">
        <v>234</v>
      </c>
      <c r="D58" s="139" t="s">
        <v>199</v>
      </c>
      <c r="E58" s="138" t="s">
        <v>122</v>
      </c>
      <c r="F58" s="140">
        <v>79460</v>
      </c>
      <c r="G58" s="141">
        <f t="shared" si="5"/>
        <v>119190</v>
      </c>
      <c r="H58" s="140"/>
      <c r="I58" s="140">
        <v>1</v>
      </c>
      <c r="J58" s="141"/>
      <c r="K58" s="141"/>
      <c r="L58" s="141"/>
      <c r="M58" s="142"/>
      <c r="N58" s="143">
        <f t="shared" si="6"/>
        <v>6621.666666666667</v>
      </c>
      <c r="O58" s="143">
        <f t="shared" si="7"/>
        <v>0</v>
      </c>
      <c r="P58" s="143">
        <f t="shared" si="8"/>
        <v>0</v>
      </c>
      <c r="Q58" s="143">
        <f t="shared" si="14"/>
        <v>0</v>
      </c>
      <c r="R58" s="144"/>
      <c r="S58" s="145"/>
      <c r="T58" s="145"/>
      <c r="U58" s="154"/>
      <c r="V58" s="146">
        <f t="shared" si="15"/>
        <v>6621.666666666667</v>
      </c>
      <c r="W58" s="147"/>
      <c r="X58" s="147"/>
      <c r="Y58" s="147"/>
      <c r="Z58" s="145">
        <f t="shared" si="9"/>
        <v>0</v>
      </c>
      <c r="AA58" s="148"/>
      <c r="AB58" s="143">
        <f t="shared" si="10"/>
        <v>1</v>
      </c>
      <c r="AC58" s="145">
        <f t="shared" si="11"/>
        <v>1986.5</v>
      </c>
      <c r="AD58" s="149"/>
      <c r="AE58" s="150"/>
      <c r="AF58" s="145">
        <f t="shared" si="12"/>
        <v>0</v>
      </c>
      <c r="AG58" s="145">
        <f t="shared" si="16"/>
        <v>662.16666666666674</v>
      </c>
      <c r="AH58" s="146">
        <f t="shared" si="13"/>
        <v>9270.3333333333339</v>
      </c>
    </row>
    <row r="59" spans="1:35" ht="11.25">
      <c r="A59" s="138" t="s">
        <v>215</v>
      </c>
      <c r="B59" s="138" t="s">
        <v>197</v>
      </c>
      <c r="C59" s="139" t="s">
        <v>234</v>
      </c>
      <c r="D59" s="139" t="s">
        <v>199</v>
      </c>
      <c r="E59" s="138" t="s">
        <v>248</v>
      </c>
      <c r="F59" s="140">
        <v>79460</v>
      </c>
      <c r="G59" s="141">
        <f t="shared" si="5"/>
        <v>119190</v>
      </c>
      <c r="H59" s="140">
        <v>1</v>
      </c>
      <c r="I59" s="140">
        <v>4</v>
      </c>
      <c r="J59" s="141">
        <v>5</v>
      </c>
      <c r="K59" s="143"/>
      <c r="L59" s="143"/>
      <c r="M59" s="143">
        <f>G59/20*H59</f>
        <v>5959.5</v>
      </c>
      <c r="N59" s="143">
        <f t="shared" si="6"/>
        <v>26486.666666666668</v>
      </c>
      <c r="O59" s="143">
        <f t="shared" si="7"/>
        <v>33108.333333333336</v>
      </c>
      <c r="P59" s="143">
        <f t="shared" si="8"/>
        <v>0</v>
      </c>
      <c r="Q59" s="143">
        <f t="shared" si="14"/>
        <v>0</v>
      </c>
      <c r="R59" s="144"/>
      <c r="S59" s="145"/>
      <c r="T59" s="160"/>
      <c r="U59" s="154"/>
      <c r="V59" s="146">
        <f t="shared" si="15"/>
        <v>65554.5</v>
      </c>
      <c r="W59" s="147"/>
      <c r="X59" s="147"/>
      <c r="Y59" s="147">
        <v>4</v>
      </c>
      <c r="Z59" s="145">
        <f t="shared" si="9"/>
        <v>1573.0666666666666</v>
      </c>
      <c r="AA59" s="148"/>
      <c r="AB59" s="143">
        <f t="shared" si="10"/>
        <v>9</v>
      </c>
      <c r="AC59" s="145">
        <f t="shared" si="11"/>
        <v>17878.5</v>
      </c>
      <c r="AD59" s="149"/>
      <c r="AE59" s="150"/>
      <c r="AF59" s="145">
        <f t="shared" si="12"/>
        <v>0</v>
      </c>
      <c r="AG59" s="145">
        <f>(N59+O59+P59+Q59+M59)*10%</f>
        <v>6555.4500000000007</v>
      </c>
      <c r="AH59" s="146">
        <f t="shared" si="13"/>
        <v>91561.516666666663</v>
      </c>
    </row>
    <row r="60" spans="1:35" ht="11.25">
      <c r="A60" s="138" t="s">
        <v>249</v>
      </c>
      <c r="B60" s="138" t="s">
        <v>197</v>
      </c>
      <c r="C60" s="139" t="s">
        <v>234</v>
      </c>
      <c r="D60" s="139" t="s">
        <v>199</v>
      </c>
      <c r="E60" s="138" t="s">
        <v>86</v>
      </c>
      <c r="F60" s="140">
        <v>77513</v>
      </c>
      <c r="G60" s="141">
        <f>F60*1.5</f>
        <v>116269.5</v>
      </c>
      <c r="H60" s="140"/>
      <c r="I60" s="140"/>
      <c r="J60" s="141">
        <v>2</v>
      </c>
      <c r="K60" s="141"/>
      <c r="L60" s="141"/>
      <c r="M60" s="142"/>
      <c r="N60" s="143">
        <f t="shared" si="6"/>
        <v>0</v>
      </c>
      <c r="O60" s="143">
        <f t="shared" si="7"/>
        <v>12918.833333333334</v>
      </c>
      <c r="P60" s="143">
        <f t="shared" si="8"/>
        <v>0</v>
      </c>
      <c r="Q60" s="143">
        <f>G60/18*L60</f>
        <v>0</v>
      </c>
      <c r="R60" s="144"/>
      <c r="S60" s="145"/>
      <c r="T60" s="145"/>
      <c r="U60" s="154"/>
      <c r="V60" s="146">
        <f>(N60+O60+P60+M60+Q60)+((17697*R60)/18*(S60+T60+U60))</f>
        <v>12918.833333333334</v>
      </c>
      <c r="W60" s="147"/>
      <c r="X60" s="147"/>
      <c r="Y60" s="147"/>
      <c r="Z60" s="145">
        <f>(17697*40%)/18*Y60</f>
        <v>0</v>
      </c>
      <c r="AA60" s="148"/>
      <c r="AB60" s="143">
        <f>I60+J60+K60+L60</f>
        <v>2</v>
      </c>
      <c r="AC60" s="145">
        <f t="shared" si="11"/>
        <v>3875.65</v>
      </c>
      <c r="AD60" s="149">
        <v>29170</v>
      </c>
      <c r="AE60" s="150"/>
      <c r="AF60" s="145">
        <f t="shared" si="12"/>
        <v>0</v>
      </c>
      <c r="AG60" s="145">
        <f>(N60+O60+P60+Q60+M60)*10%</f>
        <v>1291.8833333333334</v>
      </c>
      <c r="AH60" s="146">
        <f>V60+W60+X60+Z60+AA60+AC60+AD60+AF60+AG60</f>
        <v>47256.366666666669</v>
      </c>
    </row>
    <row r="61" spans="1:35" ht="12.75" customHeight="1">
      <c r="A61" s="138" t="s">
        <v>250</v>
      </c>
      <c r="B61" s="138" t="s">
        <v>197</v>
      </c>
      <c r="C61" s="139" t="s">
        <v>234</v>
      </c>
      <c r="D61" s="139" t="s">
        <v>199</v>
      </c>
      <c r="E61" s="138" t="s">
        <v>251</v>
      </c>
      <c r="F61" s="140">
        <v>77513</v>
      </c>
      <c r="G61" s="141">
        <f>F61*1.5</f>
        <v>116269.5</v>
      </c>
      <c r="H61" s="140"/>
      <c r="I61" s="140"/>
      <c r="J61" s="141">
        <v>5</v>
      </c>
      <c r="K61" s="141"/>
      <c r="L61" s="141"/>
      <c r="M61" s="142"/>
      <c r="N61" s="143">
        <f t="shared" si="6"/>
        <v>0</v>
      </c>
      <c r="O61" s="143">
        <f t="shared" si="7"/>
        <v>32297.083333333336</v>
      </c>
      <c r="P61" s="143">
        <f t="shared" si="8"/>
        <v>0</v>
      </c>
      <c r="Q61" s="143">
        <f>G61/18*L61</f>
        <v>0</v>
      </c>
      <c r="R61" s="144">
        <v>0.4</v>
      </c>
      <c r="S61" s="145"/>
      <c r="T61" s="151">
        <v>5</v>
      </c>
      <c r="U61" s="154"/>
      <c r="V61" s="146">
        <f>(N61+O61+P61+M61+Q61)+((17697*R61)/18*(S61+T61+U61))</f>
        <v>34263.416666666672</v>
      </c>
      <c r="W61" s="147"/>
      <c r="X61" s="147"/>
      <c r="Y61" s="147">
        <v>5</v>
      </c>
      <c r="Z61" s="145">
        <f>(17697*40%)/18*Y61</f>
        <v>1966.3333333333333</v>
      </c>
      <c r="AA61" s="148"/>
      <c r="AB61" s="143">
        <f>I61+J61+K61+L61</f>
        <v>5</v>
      </c>
      <c r="AC61" s="145">
        <f t="shared" si="11"/>
        <v>9689.125</v>
      </c>
      <c r="AD61" s="149"/>
      <c r="AE61" s="150"/>
      <c r="AF61" s="145">
        <f t="shared" si="12"/>
        <v>0</v>
      </c>
      <c r="AG61" s="145">
        <f>(N61+O61+P61+Q61)*10%</f>
        <v>3229.7083333333339</v>
      </c>
      <c r="AH61" s="146">
        <f>V61+W61+X61+Z61+AA61+AC61+AD61+AF61+AG61</f>
        <v>49148.583333333343</v>
      </c>
    </row>
    <row r="62" spans="1:35" ht="11.25">
      <c r="A62" s="138" t="s">
        <v>252</v>
      </c>
      <c r="B62" s="138" t="s">
        <v>197</v>
      </c>
      <c r="C62" s="139" t="s">
        <v>234</v>
      </c>
      <c r="D62" s="139" t="s">
        <v>199</v>
      </c>
      <c r="E62" s="138" t="s">
        <v>92</v>
      </c>
      <c r="F62" s="140">
        <v>77513</v>
      </c>
      <c r="G62" s="141">
        <f>F62*1.5</f>
        <v>116269.5</v>
      </c>
      <c r="H62" s="140"/>
      <c r="I62" s="140">
        <v>2</v>
      </c>
      <c r="J62" s="141">
        <v>7</v>
      </c>
      <c r="K62" s="141">
        <v>4</v>
      </c>
      <c r="L62" s="141">
        <v>2</v>
      </c>
      <c r="M62" s="142"/>
      <c r="N62" s="143">
        <f t="shared" si="6"/>
        <v>12918.833333333334</v>
      </c>
      <c r="O62" s="143">
        <f t="shared" si="7"/>
        <v>45215.916666666672</v>
      </c>
      <c r="P62" s="143">
        <f t="shared" si="8"/>
        <v>25837.666666666668</v>
      </c>
      <c r="Q62" s="143">
        <f>G62/18*L62</f>
        <v>12918.833333333334</v>
      </c>
      <c r="R62" s="144"/>
      <c r="S62" s="145"/>
      <c r="T62" s="145"/>
      <c r="U62" s="154"/>
      <c r="V62" s="146">
        <f>(N62+O62+P62+M62+Q62)+((17697*R62)/18*(S62+T62+U62))</f>
        <v>96891.25</v>
      </c>
      <c r="W62" s="147"/>
      <c r="X62" s="147">
        <v>3539</v>
      </c>
      <c r="Y62" s="147">
        <v>4</v>
      </c>
      <c r="Z62" s="145">
        <f>(17697*40%)/18*Y62</f>
        <v>1573.0666666666666</v>
      </c>
      <c r="AA62" s="148"/>
      <c r="AB62" s="143">
        <f>I62+J62+K62+L62</f>
        <v>15</v>
      </c>
      <c r="AC62" s="145">
        <f t="shared" si="11"/>
        <v>29067.375</v>
      </c>
      <c r="AD62" s="149"/>
      <c r="AE62" s="150"/>
      <c r="AF62" s="145">
        <f t="shared" si="12"/>
        <v>0</v>
      </c>
      <c r="AG62" s="145">
        <f t="shared" ref="AG62:AG68" si="17">(N62+O62+P62+Q62+M62)*10%</f>
        <v>9689.125</v>
      </c>
      <c r="AH62" s="146">
        <f>V62+W62+X62+Z62+AA62+AC62+AD62+AF62+AG62</f>
        <v>140759.81666666665</v>
      </c>
    </row>
    <row r="63" spans="1:35" ht="11.25">
      <c r="A63" s="138" t="s">
        <v>253</v>
      </c>
      <c r="B63" s="138" t="s">
        <v>197</v>
      </c>
      <c r="C63" s="139" t="s">
        <v>234</v>
      </c>
      <c r="D63" s="139" t="s">
        <v>199</v>
      </c>
      <c r="E63" s="138" t="s">
        <v>88</v>
      </c>
      <c r="F63" s="140">
        <v>76628</v>
      </c>
      <c r="G63" s="141">
        <f t="shared" si="5"/>
        <v>114942</v>
      </c>
      <c r="H63" s="140"/>
      <c r="I63" s="140"/>
      <c r="J63" s="141">
        <v>14</v>
      </c>
      <c r="K63" s="156"/>
      <c r="L63" s="156"/>
      <c r="M63" s="167"/>
      <c r="N63" s="143">
        <f t="shared" si="6"/>
        <v>0</v>
      </c>
      <c r="O63" s="143">
        <f t="shared" si="7"/>
        <v>89399.333333333343</v>
      </c>
      <c r="P63" s="143">
        <f t="shared" si="8"/>
        <v>0</v>
      </c>
      <c r="Q63" s="143">
        <f t="shared" si="14"/>
        <v>0</v>
      </c>
      <c r="R63" s="144"/>
      <c r="S63" s="145"/>
      <c r="T63" s="160"/>
      <c r="U63" s="154"/>
      <c r="V63" s="146">
        <f t="shared" si="15"/>
        <v>89399.333333333343</v>
      </c>
      <c r="W63" s="147"/>
      <c r="X63" s="147"/>
      <c r="Y63" s="147">
        <v>6</v>
      </c>
      <c r="Z63" s="145">
        <f t="shared" si="9"/>
        <v>2359.6</v>
      </c>
      <c r="AA63" s="148"/>
      <c r="AB63" s="143">
        <f t="shared" si="10"/>
        <v>14</v>
      </c>
      <c r="AC63" s="145">
        <f t="shared" si="11"/>
        <v>26819.8</v>
      </c>
      <c r="AD63" s="149"/>
      <c r="AE63" s="150"/>
      <c r="AF63" s="145">
        <f t="shared" si="12"/>
        <v>0</v>
      </c>
      <c r="AG63" s="145">
        <f t="shared" si="17"/>
        <v>8939.9333333333343</v>
      </c>
      <c r="AH63" s="146">
        <f t="shared" si="13"/>
        <v>127518.66666666669</v>
      </c>
    </row>
    <row r="64" spans="1:35" ht="11.25">
      <c r="A64" s="138" t="s">
        <v>254</v>
      </c>
      <c r="B64" s="138" t="s">
        <v>197</v>
      </c>
      <c r="C64" s="139" t="s">
        <v>234</v>
      </c>
      <c r="D64" s="139" t="s">
        <v>199</v>
      </c>
      <c r="E64" s="138" t="s">
        <v>255</v>
      </c>
      <c r="F64" s="140">
        <v>74150</v>
      </c>
      <c r="G64" s="141">
        <f t="shared" si="5"/>
        <v>111225</v>
      </c>
      <c r="H64" s="140">
        <v>1</v>
      </c>
      <c r="I64" s="140">
        <v>6</v>
      </c>
      <c r="J64" s="141">
        <v>12</v>
      </c>
      <c r="K64" s="168"/>
      <c r="L64" s="168"/>
      <c r="M64" s="143">
        <f>G64/20*H64</f>
        <v>5561.25</v>
      </c>
      <c r="N64" s="143">
        <f t="shared" si="6"/>
        <v>37075</v>
      </c>
      <c r="O64" s="143">
        <f t="shared" si="7"/>
        <v>74150</v>
      </c>
      <c r="P64" s="143">
        <f t="shared" si="8"/>
        <v>0</v>
      </c>
      <c r="Q64" s="143">
        <f t="shared" si="14"/>
        <v>0</v>
      </c>
      <c r="R64" s="144">
        <v>0.5</v>
      </c>
      <c r="S64" s="145">
        <v>5</v>
      </c>
      <c r="T64" s="151">
        <v>7.5</v>
      </c>
      <c r="U64" s="154"/>
      <c r="V64" s="146">
        <f t="shared" si="15"/>
        <v>122931.04166666667</v>
      </c>
      <c r="W64" s="147">
        <v>5309</v>
      </c>
      <c r="X64" s="147"/>
      <c r="Y64" s="147">
        <v>9</v>
      </c>
      <c r="Z64" s="145">
        <f t="shared" si="9"/>
        <v>3539.3999999999996</v>
      </c>
      <c r="AA64" s="148"/>
      <c r="AB64" s="143">
        <f t="shared" si="10"/>
        <v>18</v>
      </c>
      <c r="AC64" s="145">
        <f t="shared" si="11"/>
        <v>33367.5</v>
      </c>
      <c r="AD64" s="149">
        <v>29170</v>
      </c>
      <c r="AE64" s="150"/>
      <c r="AF64" s="145">
        <f t="shared" si="12"/>
        <v>0</v>
      </c>
      <c r="AG64" s="145">
        <f t="shared" si="17"/>
        <v>11678.625</v>
      </c>
      <c r="AH64" s="146">
        <f t="shared" si="13"/>
        <v>205995.56666666668</v>
      </c>
    </row>
    <row r="65" spans="1:35" ht="11.25">
      <c r="A65" s="138" t="s">
        <v>249</v>
      </c>
      <c r="B65" s="138" t="s">
        <v>197</v>
      </c>
      <c r="C65" s="139" t="s">
        <v>234</v>
      </c>
      <c r="D65" s="139" t="s">
        <v>199</v>
      </c>
      <c r="E65" s="138" t="s">
        <v>256</v>
      </c>
      <c r="F65" s="140">
        <v>74150</v>
      </c>
      <c r="G65" s="141">
        <f t="shared" si="5"/>
        <v>111225</v>
      </c>
      <c r="H65" s="140"/>
      <c r="I65" s="140"/>
      <c r="J65" s="141">
        <v>11</v>
      </c>
      <c r="K65" s="162">
        <v>4</v>
      </c>
      <c r="L65" s="162">
        <v>2</v>
      </c>
      <c r="M65" s="157"/>
      <c r="N65" s="143">
        <f t="shared" si="6"/>
        <v>0</v>
      </c>
      <c r="O65" s="143">
        <f t="shared" si="7"/>
        <v>67970.833333333343</v>
      </c>
      <c r="P65" s="143">
        <f t="shared" si="8"/>
        <v>24716.666666666668</v>
      </c>
      <c r="Q65" s="143">
        <f t="shared" si="14"/>
        <v>12358.333333333334</v>
      </c>
      <c r="R65" s="144"/>
      <c r="S65" s="145"/>
      <c r="T65" s="151"/>
      <c r="U65" s="154"/>
      <c r="V65" s="146">
        <f t="shared" si="15"/>
        <v>105045.83333333334</v>
      </c>
      <c r="W65" s="147">
        <v>5309</v>
      </c>
      <c r="X65" s="147"/>
      <c r="Y65" s="147">
        <v>4</v>
      </c>
      <c r="Z65" s="145">
        <f t="shared" si="9"/>
        <v>1573.0666666666666</v>
      </c>
      <c r="AA65" s="148"/>
      <c r="AB65" s="143">
        <f t="shared" si="10"/>
        <v>17</v>
      </c>
      <c r="AC65" s="145">
        <f t="shared" si="11"/>
        <v>31513.75</v>
      </c>
      <c r="AD65" s="149"/>
      <c r="AE65" s="150"/>
      <c r="AF65" s="145">
        <f t="shared" si="12"/>
        <v>0</v>
      </c>
      <c r="AG65" s="145">
        <f t="shared" si="17"/>
        <v>10504.583333333336</v>
      </c>
      <c r="AH65" s="146">
        <f t="shared" si="13"/>
        <v>153946.23333333337</v>
      </c>
    </row>
    <row r="66" spans="1:35" ht="11.25">
      <c r="A66" s="138" t="s">
        <v>207</v>
      </c>
      <c r="B66" s="138" t="s">
        <v>257</v>
      </c>
      <c r="C66" s="139">
        <v>2</v>
      </c>
      <c r="D66" s="139" t="s">
        <v>240</v>
      </c>
      <c r="E66" s="138" t="s">
        <v>258</v>
      </c>
      <c r="F66" s="140">
        <v>75920</v>
      </c>
      <c r="G66" s="141">
        <f t="shared" si="5"/>
        <v>113880</v>
      </c>
      <c r="H66" s="140"/>
      <c r="I66" s="140"/>
      <c r="J66" s="141">
        <v>5</v>
      </c>
      <c r="K66" s="141">
        <v>3</v>
      </c>
      <c r="L66" s="141"/>
      <c r="M66" s="142"/>
      <c r="N66" s="143">
        <f t="shared" si="6"/>
        <v>0</v>
      </c>
      <c r="O66" s="143">
        <f t="shared" si="7"/>
        <v>31633.333333333336</v>
      </c>
      <c r="P66" s="143">
        <f t="shared" si="8"/>
        <v>18980</v>
      </c>
      <c r="Q66" s="143">
        <f t="shared" si="14"/>
        <v>0</v>
      </c>
      <c r="R66" s="144"/>
      <c r="S66" s="145"/>
      <c r="T66" s="145"/>
      <c r="U66" s="154"/>
      <c r="V66" s="146">
        <f t="shared" si="15"/>
        <v>50613.333333333336</v>
      </c>
      <c r="W66" s="147"/>
      <c r="X66" s="147">
        <v>3539</v>
      </c>
      <c r="Y66" s="147">
        <v>1</v>
      </c>
      <c r="Z66" s="145">
        <f t="shared" si="9"/>
        <v>393.26666666666665</v>
      </c>
      <c r="AA66" s="148"/>
      <c r="AB66" s="143">
        <f t="shared" si="10"/>
        <v>8</v>
      </c>
      <c r="AC66" s="145">
        <f t="shared" si="11"/>
        <v>15184</v>
      </c>
      <c r="AD66" s="149"/>
      <c r="AE66" s="150"/>
      <c r="AF66" s="145">
        <f t="shared" si="12"/>
        <v>0</v>
      </c>
      <c r="AG66" s="145">
        <f t="shared" si="17"/>
        <v>5061.3333333333339</v>
      </c>
      <c r="AH66" s="146">
        <f t="shared" si="13"/>
        <v>74790.933333333334</v>
      </c>
    </row>
    <row r="67" spans="1:35" ht="11.25">
      <c r="A67" s="138" t="s">
        <v>259</v>
      </c>
      <c r="B67" s="138" t="s">
        <v>257</v>
      </c>
      <c r="C67" s="139" t="s">
        <v>234</v>
      </c>
      <c r="D67" s="139" t="s">
        <v>240</v>
      </c>
      <c r="E67" s="138" t="s">
        <v>77</v>
      </c>
      <c r="F67" s="140">
        <v>66010</v>
      </c>
      <c r="G67" s="141">
        <f t="shared" si="5"/>
        <v>99015</v>
      </c>
      <c r="H67" s="140"/>
      <c r="I67" s="140"/>
      <c r="J67" s="141">
        <v>1</v>
      </c>
      <c r="K67" s="162"/>
      <c r="L67" s="162"/>
      <c r="M67" s="167"/>
      <c r="N67" s="143">
        <f t="shared" si="6"/>
        <v>0</v>
      </c>
      <c r="O67" s="143">
        <f t="shared" si="7"/>
        <v>5500.833333333333</v>
      </c>
      <c r="P67" s="143">
        <f t="shared" si="8"/>
        <v>0</v>
      </c>
      <c r="Q67" s="143">
        <f t="shared" si="14"/>
        <v>0</v>
      </c>
      <c r="R67" s="144"/>
      <c r="S67" s="145"/>
      <c r="T67" s="145"/>
      <c r="U67" s="154"/>
      <c r="V67" s="146">
        <f t="shared" si="15"/>
        <v>5500.833333333333</v>
      </c>
      <c r="W67" s="147"/>
      <c r="X67" s="147"/>
      <c r="Y67" s="147">
        <v>1</v>
      </c>
      <c r="Z67" s="145">
        <f t="shared" si="9"/>
        <v>393.26666666666665</v>
      </c>
      <c r="AA67" s="148"/>
      <c r="AB67" s="143">
        <f t="shared" si="10"/>
        <v>1</v>
      </c>
      <c r="AC67" s="145">
        <f t="shared" si="11"/>
        <v>1650.2499999999998</v>
      </c>
      <c r="AD67" s="149"/>
      <c r="AE67" s="169"/>
      <c r="AF67" s="145">
        <f t="shared" si="12"/>
        <v>0</v>
      </c>
      <c r="AG67" s="145">
        <f t="shared" si="17"/>
        <v>550.08333333333337</v>
      </c>
      <c r="AH67" s="146">
        <f t="shared" si="13"/>
        <v>8094.4333333333325</v>
      </c>
    </row>
    <row r="68" spans="1:35" ht="11.25">
      <c r="A68" s="138" t="s">
        <v>205</v>
      </c>
      <c r="B68" s="138" t="s">
        <v>257</v>
      </c>
      <c r="C68" s="139" t="s">
        <v>234</v>
      </c>
      <c r="D68" s="139" t="s">
        <v>240</v>
      </c>
      <c r="E68" s="138" t="s">
        <v>54</v>
      </c>
      <c r="F68" s="140">
        <v>64594</v>
      </c>
      <c r="G68" s="141">
        <f t="shared" si="5"/>
        <v>96891</v>
      </c>
      <c r="H68" s="140"/>
      <c r="I68" s="140"/>
      <c r="J68" s="141"/>
      <c r="K68" s="141">
        <v>3</v>
      </c>
      <c r="L68" s="141"/>
      <c r="M68" s="142"/>
      <c r="N68" s="143">
        <f t="shared" si="6"/>
        <v>0</v>
      </c>
      <c r="O68" s="143">
        <f t="shared" si="7"/>
        <v>0</v>
      </c>
      <c r="P68" s="143">
        <f t="shared" si="8"/>
        <v>16148.5</v>
      </c>
      <c r="Q68" s="143">
        <f t="shared" si="14"/>
        <v>0</v>
      </c>
      <c r="R68" s="144">
        <v>0.4</v>
      </c>
      <c r="S68" s="145"/>
      <c r="T68" s="151"/>
      <c r="U68" s="153">
        <v>1.5</v>
      </c>
      <c r="V68" s="146">
        <f t="shared" si="15"/>
        <v>16738.400000000001</v>
      </c>
      <c r="W68" s="147"/>
      <c r="X68" s="147"/>
      <c r="Y68" s="147"/>
      <c r="Z68" s="145">
        <f t="shared" si="9"/>
        <v>0</v>
      </c>
      <c r="AA68" s="148"/>
      <c r="AB68" s="143">
        <f t="shared" si="10"/>
        <v>3</v>
      </c>
      <c r="AC68" s="145">
        <f t="shared" si="11"/>
        <v>4844.5499999999993</v>
      </c>
      <c r="AD68" s="149"/>
      <c r="AE68" s="170"/>
      <c r="AF68" s="145">
        <f t="shared" si="12"/>
        <v>0</v>
      </c>
      <c r="AG68" s="145">
        <f t="shared" si="17"/>
        <v>1614.8500000000001</v>
      </c>
      <c r="AH68" s="146">
        <f t="shared" si="13"/>
        <v>23197.8</v>
      </c>
    </row>
    <row r="69" spans="1:35" ht="11.25">
      <c r="A69" s="138" t="s">
        <v>246</v>
      </c>
      <c r="B69" s="138" t="s">
        <v>257</v>
      </c>
      <c r="C69" s="139" t="s">
        <v>234</v>
      </c>
      <c r="D69" s="139" t="s">
        <v>240</v>
      </c>
      <c r="E69" s="138" t="s">
        <v>251</v>
      </c>
      <c r="F69" s="140">
        <v>63178</v>
      </c>
      <c r="G69" s="141">
        <f>F69*1.5</f>
        <v>94767</v>
      </c>
      <c r="H69" s="140"/>
      <c r="I69" s="140">
        <v>21</v>
      </c>
      <c r="J69" s="141"/>
      <c r="K69" s="141"/>
      <c r="L69" s="141"/>
      <c r="M69" s="142"/>
      <c r="N69" s="143">
        <f>G69/18*I69</f>
        <v>110561.5</v>
      </c>
      <c r="O69" s="143">
        <f>G69/18*J69</f>
        <v>0</v>
      </c>
      <c r="P69" s="143">
        <f t="shared" si="8"/>
        <v>0</v>
      </c>
      <c r="Q69" s="143">
        <f>G69/18*L69</f>
        <v>0</v>
      </c>
      <c r="R69" s="144">
        <v>0.4</v>
      </c>
      <c r="S69" s="145">
        <v>6</v>
      </c>
      <c r="T69" s="151"/>
      <c r="U69" s="154"/>
      <c r="V69" s="146">
        <f>(N69+O69+P69+M69+Q69)+((17697*R69)/18*(S69+T69+U69))</f>
        <v>112921.1</v>
      </c>
      <c r="W69" s="147">
        <v>4424</v>
      </c>
      <c r="X69" s="147"/>
      <c r="Y69" s="147">
        <v>21</v>
      </c>
      <c r="Z69" s="145">
        <f>(17697*40%)/18*Y69</f>
        <v>8258.6</v>
      </c>
      <c r="AA69" s="148"/>
      <c r="AB69" s="143">
        <f>I69+J69+K69+L69</f>
        <v>21</v>
      </c>
      <c r="AC69" s="145">
        <f t="shared" si="11"/>
        <v>33168.449999999997</v>
      </c>
      <c r="AD69" s="149"/>
      <c r="AE69" s="150"/>
      <c r="AF69" s="145">
        <f t="shared" si="12"/>
        <v>0</v>
      </c>
      <c r="AG69" s="145">
        <f>(N69+O69+P69+Q69)*10%</f>
        <v>11056.150000000001</v>
      </c>
      <c r="AH69" s="146">
        <f>V69+W69+X69+Z69+AA69+AC69+AD69+AF69+AG69</f>
        <v>169828.30000000002</v>
      </c>
    </row>
    <row r="70" spans="1:35" ht="11.25">
      <c r="A70" s="138" t="s">
        <v>246</v>
      </c>
      <c r="B70" s="138" t="s">
        <v>257</v>
      </c>
      <c r="C70" s="139" t="s">
        <v>234</v>
      </c>
      <c r="D70" s="139" t="s">
        <v>240</v>
      </c>
      <c r="E70" s="138" t="s">
        <v>67</v>
      </c>
      <c r="F70" s="140">
        <v>62470</v>
      </c>
      <c r="G70" s="141">
        <f t="shared" si="5"/>
        <v>93705</v>
      </c>
      <c r="H70" s="140"/>
      <c r="I70" s="140">
        <v>18</v>
      </c>
      <c r="J70" s="141"/>
      <c r="K70" s="141"/>
      <c r="L70" s="141">
        <v>9</v>
      </c>
      <c r="M70" s="142"/>
      <c r="N70" s="143">
        <f t="shared" si="6"/>
        <v>93705</v>
      </c>
      <c r="O70" s="143">
        <f t="shared" si="7"/>
        <v>0</v>
      </c>
      <c r="P70" s="143">
        <f t="shared" si="8"/>
        <v>0</v>
      </c>
      <c r="Q70" s="143">
        <f t="shared" si="14"/>
        <v>46852.5</v>
      </c>
      <c r="R70" s="144">
        <v>0.4</v>
      </c>
      <c r="S70" s="145">
        <v>5</v>
      </c>
      <c r="T70" s="151"/>
      <c r="U70" s="154"/>
      <c r="V70" s="146">
        <f t="shared" si="15"/>
        <v>142523.83333333334</v>
      </c>
      <c r="W70" s="147">
        <v>4424</v>
      </c>
      <c r="X70" s="147"/>
      <c r="Y70" s="147">
        <v>18</v>
      </c>
      <c r="Z70" s="145">
        <f t="shared" si="9"/>
        <v>7078.7999999999993</v>
      </c>
      <c r="AA70" s="148"/>
      <c r="AB70" s="143">
        <f t="shared" si="10"/>
        <v>27</v>
      </c>
      <c r="AC70" s="145">
        <f t="shared" si="11"/>
        <v>42167.249999999993</v>
      </c>
      <c r="AD70" s="149"/>
      <c r="AE70" s="150"/>
      <c r="AF70" s="145">
        <f t="shared" si="12"/>
        <v>0</v>
      </c>
      <c r="AG70" s="145">
        <f t="shared" si="16"/>
        <v>14055.75</v>
      </c>
      <c r="AH70" s="146">
        <f t="shared" si="13"/>
        <v>210249.63333333333</v>
      </c>
    </row>
    <row r="71" spans="1:35" ht="11.25">
      <c r="A71" s="138" t="s">
        <v>260</v>
      </c>
      <c r="B71" s="138" t="s">
        <v>257</v>
      </c>
      <c r="C71" s="139" t="s">
        <v>234</v>
      </c>
      <c r="D71" s="139" t="s">
        <v>240</v>
      </c>
      <c r="E71" s="138" t="s">
        <v>80</v>
      </c>
      <c r="F71" s="140">
        <v>59462</v>
      </c>
      <c r="G71" s="141">
        <f>F71*1.5</f>
        <v>89193</v>
      </c>
      <c r="H71" s="140">
        <v>1</v>
      </c>
      <c r="I71" s="140"/>
      <c r="J71" s="141"/>
      <c r="K71" s="141"/>
      <c r="L71" s="141"/>
      <c r="M71" s="143">
        <f>G71/20*H71</f>
        <v>4459.6499999999996</v>
      </c>
      <c r="N71" s="143">
        <f>G71/18*I71</f>
        <v>0</v>
      </c>
      <c r="O71" s="143">
        <f>G71/18*J71</f>
        <v>0</v>
      </c>
      <c r="P71" s="143">
        <f t="shared" si="8"/>
        <v>0</v>
      </c>
      <c r="Q71" s="143">
        <f>G71/18*L71</f>
        <v>0</v>
      </c>
      <c r="R71" s="144"/>
      <c r="S71" s="145"/>
      <c r="T71" s="160"/>
      <c r="U71" s="154"/>
      <c r="V71" s="146">
        <f>(N71+O71+P71+M71+Q71)+((17697*R71)/18*(S71+T71+U71))</f>
        <v>4459.6499999999996</v>
      </c>
      <c r="W71" s="147"/>
      <c r="X71" s="147"/>
      <c r="Y71" s="147">
        <v>1</v>
      </c>
      <c r="Z71" s="145">
        <f>(17697*40%)/18*Y71</f>
        <v>393.26666666666665</v>
      </c>
      <c r="AA71" s="148"/>
      <c r="AB71" s="143">
        <f>I71+J71+K71+L71</f>
        <v>0</v>
      </c>
      <c r="AC71" s="145">
        <f t="shared" si="11"/>
        <v>0</v>
      </c>
      <c r="AD71" s="149"/>
      <c r="AE71" s="150"/>
      <c r="AF71" s="145">
        <f t="shared" si="12"/>
        <v>0</v>
      </c>
      <c r="AG71" s="145">
        <f>(N71+O71+P71+Q71+M71)*10%</f>
        <v>445.96499999999997</v>
      </c>
      <c r="AH71" s="146">
        <f>V71+W71+X71+Z71+AA71+AC71+AD71+AF71+AG71</f>
        <v>5298.8816666666662</v>
      </c>
    </row>
    <row r="72" spans="1:35" ht="11.25">
      <c r="A72" s="171"/>
      <c r="B72" s="172"/>
      <c r="C72" s="172"/>
      <c r="D72" s="172"/>
      <c r="E72" s="159"/>
      <c r="F72" s="159"/>
      <c r="G72" s="173"/>
      <c r="H72" s="172">
        <f>SUM(H20:H71)</f>
        <v>3</v>
      </c>
      <c r="I72" s="172">
        <f t="shared" ref="I72:AH72" si="18">SUM(I20:I71)</f>
        <v>214</v>
      </c>
      <c r="J72" s="172">
        <f t="shared" si="18"/>
        <v>346</v>
      </c>
      <c r="K72" s="172">
        <f t="shared" si="18"/>
        <v>138</v>
      </c>
      <c r="L72" s="172">
        <f t="shared" si="18"/>
        <v>50</v>
      </c>
      <c r="M72" s="172">
        <f t="shared" si="18"/>
        <v>15980.4</v>
      </c>
      <c r="N72" s="172">
        <f t="shared" si="18"/>
        <v>1474424.4166666667</v>
      </c>
      <c r="O72" s="172">
        <f t="shared" si="18"/>
        <v>2523179.083333334</v>
      </c>
      <c r="P72" s="172">
        <f t="shared" si="18"/>
        <v>1023064.1666666666</v>
      </c>
      <c r="Q72" s="172">
        <f t="shared" si="18"/>
        <v>344589.74999999994</v>
      </c>
      <c r="R72" s="172">
        <f t="shared" si="18"/>
        <v>11.900000000000004</v>
      </c>
      <c r="S72" s="172">
        <f t="shared" si="18"/>
        <v>84</v>
      </c>
      <c r="T72" s="172">
        <f t="shared" si="18"/>
        <v>146</v>
      </c>
      <c r="U72" s="172">
        <f t="shared" si="18"/>
        <v>37.5</v>
      </c>
      <c r="V72" s="172">
        <f t="shared" si="18"/>
        <v>5495580.0999999996</v>
      </c>
      <c r="W72" s="172">
        <f t="shared" si="18"/>
        <v>143341</v>
      </c>
      <c r="X72" s="172">
        <f t="shared" si="18"/>
        <v>24773</v>
      </c>
      <c r="Y72" s="172">
        <f t="shared" si="18"/>
        <v>248</v>
      </c>
      <c r="Z72" s="172">
        <f t="shared" si="18"/>
        <v>97530.133333333331</v>
      </c>
      <c r="AA72" s="172">
        <f t="shared" si="18"/>
        <v>17697</v>
      </c>
      <c r="AB72" s="172">
        <f t="shared" si="18"/>
        <v>748</v>
      </c>
      <c r="AC72" s="172">
        <f t="shared" si="18"/>
        <v>1609577.2249999999</v>
      </c>
      <c r="AD72" s="172">
        <f t="shared" si="18"/>
        <v>116680</v>
      </c>
      <c r="AE72" s="172"/>
      <c r="AF72" s="172">
        <f t="shared" si="18"/>
        <v>1067496.0541666667</v>
      </c>
      <c r="AG72" s="172">
        <f t="shared" si="18"/>
        <v>538123.78166666662</v>
      </c>
      <c r="AH72" s="172">
        <f t="shared" si="18"/>
        <v>9110798.2941666655</v>
      </c>
    </row>
    <row r="73" spans="1:35" ht="11.25">
      <c r="A73" s="174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6"/>
    </row>
    <row r="74" spans="1:35" ht="12.75">
      <c r="A74" s="138" t="s">
        <v>261</v>
      </c>
      <c r="B74" s="138" t="s">
        <v>197</v>
      </c>
      <c r="C74" s="139" t="s">
        <v>198</v>
      </c>
      <c r="D74" s="139" t="s">
        <v>199</v>
      </c>
      <c r="E74" s="138" t="s">
        <v>219</v>
      </c>
      <c r="F74" s="140">
        <v>92732</v>
      </c>
      <c r="G74" s="141">
        <f>F74*1.5</f>
        <v>139098</v>
      </c>
      <c r="H74" s="140">
        <v>1</v>
      </c>
      <c r="I74" s="140"/>
      <c r="J74" s="155"/>
      <c r="K74" s="161"/>
      <c r="L74" s="161"/>
      <c r="M74" s="141">
        <f>G74/24*H74</f>
        <v>5795.75</v>
      </c>
      <c r="N74" s="143">
        <f>G74/18*I74</f>
        <v>0</v>
      </c>
      <c r="O74" s="143">
        <f>G74/18*J74</f>
        <v>0</v>
      </c>
      <c r="P74" s="143">
        <f>G74/18*K74</f>
        <v>0</v>
      </c>
      <c r="Q74" s="143"/>
      <c r="R74" s="177"/>
      <c r="S74" s="160"/>
      <c r="T74" s="160"/>
      <c r="U74" s="154"/>
      <c r="V74" s="146">
        <f>(N74+O74+P74+M74)+((17697*R74)/18*(S74+T74+U74))</f>
        <v>5795.75</v>
      </c>
      <c r="W74" s="147"/>
      <c r="X74" s="147"/>
      <c r="Y74" s="147"/>
      <c r="Z74" s="145"/>
      <c r="AA74" s="148"/>
      <c r="AB74" s="147"/>
      <c r="AC74" s="145"/>
      <c r="AD74" s="149"/>
      <c r="AE74" s="164"/>
      <c r="AF74" s="149"/>
      <c r="AG74" s="145">
        <f>V74*10%</f>
        <v>579.57500000000005</v>
      </c>
      <c r="AH74" s="146">
        <f>V74+W74+X74+Z74+AA74+AC74+AD74+AF74+AG74</f>
        <v>6375.3249999999998</v>
      </c>
      <c r="AI74" s="165"/>
    </row>
    <row r="75" spans="1:35" ht="11.25">
      <c r="A75" s="138" t="s">
        <v>262</v>
      </c>
      <c r="B75" s="138" t="s">
        <v>197</v>
      </c>
      <c r="C75" s="139" t="s">
        <v>234</v>
      </c>
      <c r="D75" s="139" t="s">
        <v>199</v>
      </c>
      <c r="E75" s="138" t="s">
        <v>91</v>
      </c>
      <c r="F75" s="140">
        <v>85123</v>
      </c>
      <c r="G75" s="141">
        <f>F75*1.5</f>
        <v>127684.5</v>
      </c>
      <c r="H75" s="140">
        <v>1</v>
      </c>
      <c r="I75" s="140"/>
      <c r="J75" s="155"/>
      <c r="K75" s="161"/>
      <c r="L75" s="161"/>
      <c r="M75" s="141">
        <f>G75/24*H75</f>
        <v>5320.1875</v>
      </c>
      <c r="N75" s="143">
        <f t="shared" ref="N75:N77" si="19">G75/18*I75</f>
        <v>0</v>
      </c>
      <c r="O75" s="143">
        <f t="shared" ref="O75:O77" si="20">G75/18*J75</f>
        <v>0</v>
      </c>
      <c r="P75" s="143">
        <f>G75/18*K75</f>
        <v>0</v>
      </c>
      <c r="Q75" s="143"/>
      <c r="R75" s="164"/>
      <c r="S75" s="160"/>
      <c r="T75" s="160"/>
      <c r="U75" s="154"/>
      <c r="V75" s="146">
        <f t="shared" ref="V75:V77" si="21">(N75+O75+P75+M75)+((17697*R75)/18*(S75+T75+U75))</f>
        <v>5320.1875</v>
      </c>
      <c r="W75" s="147"/>
      <c r="X75" s="147"/>
      <c r="Y75" s="147"/>
      <c r="Z75" s="145"/>
      <c r="AA75" s="148"/>
      <c r="AB75" s="147"/>
      <c r="AC75" s="145"/>
      <c r="AD75" s="149"/>
      <c r="AE75" s="164"/>
      <c r="AF75" s="149"/>
      <c r="AG75" s="145">
        <f>V75*10%</f>
        <v>532.01875000000007</v>
      </c>
      <c r="AH75" s="146">
        <f t="shared" ref="AH75:AH77" si="22">V75+W75+X75+Z75+AA75+AC75+AD75+AF75+AG75</f>
        <v>5852.2062500000002</v>
      </c>
    </row>
    <row r="76" spans="1:35" ht="11.25">
      <c r="A76" s="138" t="s">
        <v>263</v>
      </c>
      <c r="B76" s="138" t="s">
        <v>197</v>
      </c>
      <c r="C76" s="139" t="s">
        <v>234</v>
      </c>
      <c r="D76" s="139" t="s">
        <v>199</v>
      </c>
      <c r="E76" s="138" t="s">
        <v>264</v>
      </c>
      <c r="F76" s="140">
        <v>73266</v>
      </c>
      <c r="G76" s="141">
        <f t="shared" ref="G76:G77" si="23">F76*1.5</f>
        <v>109899</v>
      </c>
      <c r="H76" s="140">
        <v>2</v>
      </c>
      <c r="I76" s="140"/>
      <c r="J76" s="155"/>
      <c r="K76" s="161"/>
      <c r="L76" s="161"/>
      <c r="M76" s="141">
        <f>G76/24*H76</f>
        <v>9158.25</v>
      </c>
      <c r="N76" s="143">
        <f t="shared" si="19"/>
        <v>0</v>
      </c>
      <c r="O76" s="143">
        <f t="shared" si="20"/>
        <v>0</v>
      </c>
      <c r="P76" s="143">
        <f>G76/18*K76</f>
        <v>0</v>
      </c>
      <c r="Q76" s="143"/>
      <c r="R76" s="164"/>
      <c r="S76" s="160"/>
      <c r="T76" s="160"/>
      <c r="U76" s="154"/>
      <c r="V76" s="146">
        <f t="shared" si="21"/>
        <v>9158.25</v>
      </c>
      <c r="W76" s="147"/>
      <c r="X76" s="147"/>
      <c r="Y76" s="147"/>
      <c r="Z76" s="145"/>
      <c r="AA76" s="148"/>
      <c r="AB76" s="147"/>
      <c r="AC76" s="145"/>
      <c r="AD76" s="149"/>
      <c r="AE76" s="164"/>
      <c r="AF76" s="149"/>
      <c r="AG76" s="145">
        <f>V76*10%</f>
        <v>915.82500000000005</v>
      </c>
      <c r="AH76" s="146">
        <f t="shared" si="22"/>
        <v>10074.075000000001</v>
      </c>
    </row>
    <row r="77" spans="1:35" ht="11.25">
      <c r="A77" s="138" t="s">
        <v>265</v>
      </c>
      <c r="B77" s="138" t="s">
        <v>257</v>
      </c>
      <c r="C77" s="139" t="s">
        <v>234</v>
      </c>
      <c r="D77" s="139" t="s">
        <v>240</v>
      </c>
      <c r="E77" s="138" t="s">
        <v>266</v>
      </c>
      <c r="F77" s="140">
        <v>60347</v>
      </c>
      <c r="G77" s="141">
        <f t="shared" si="23"/>
        <v>90520.5</v>
      </c>
      <c r="H77" s="140">
        <v>2</v>
      </c>
      <c r="I77" s="140"/>
      <c r="J77" s="155"/>
      <c r="K77" s="161"/>
      <c r="L77" s="161"/>
      <c r="M77" s="141">
        <f>G77/24*H77</f>
        <v>7543.375</v>
      </c>
      <c r="N77" s="143">
        <f t="shared" si="19"/>
        <v>0</v>
      </c>
      <c r="O77" s="143">
        <f t="shared" si="20"/>
        <v>0</v>
      </c>
      <c r="P77" s="143">
        <f>G77/18*K77</f>
        <v>0</v>
      </c>
      <c r="Q77" s="143"/>
      <c r="R77" s="164"/>
      <c r="S77" s="160"/>
      <c r="T77" s="160"/>
      <c r="U77" s="154"/>
      <c r="V77" s="146">
        <f t="shared" si="21"/>
        <v>7543.375</v>
      </c>
      <c r="W77" s="147"/>
      <c r="X77" s="147"/>
      <c r="Y77" s="147"/>
      <c r="Z77" s="145"/>
      <c r="AA77" s="148"/>
      <c r="AB77" s="147"/>
      <c r="AC77" s="145"/>
      <c r="AD77" s="149"/>
      <c r="AE77" s="164"/>
      <c r="AF77" s="149"/>
      <c r="AG77" s="145">
        <f>V77*10%</f>
        <v>754.33750000000009</v>
      </c>
      <c r="AH77" s="146">
        <f t="shared" si="22"/>
        <v>8297.7124999999996</v>
      </c>
    </row>
    <row r="78" spans="1:35" ht="11.25">
      <c r="A78" s="171"/>
      <c r="B78" s="172"/>
      <c r="C78" s="172"/>
      <c r="D78" s="172"/>
      <c r="E78" s="159"/>
      <c r="F78" s="172"/>
      <c r="G78" s="172"/>
      <c r="H78" s="173">
        <f>SUM(H74:H77)</f>
        <v>6</v>
      </c>
      <c r="I78" s="173">
        <f t="shared" ref="I78:AH78" si="24">SUM(I74:I77)</f>
        <v>0</v>
      </c>
      <c r="J78" s="173">
        <f t="shared" si="24"/>
        <v>0</v>
      </c>
      <c r="K78" s="173">
        <f t="shared" si="24"/>
        <v>0</v>
      </c>
      <c r="L78" s="173">
        <f t="shared" si="24"/>
        <v>0</v>
      </c>
      <c r="M78" s="173">
        <f t="shared" si="24"/>
        <v>27817.5625</v>
      </c>
      <c r="N78" s="173">
        <f t="shared" si="24"/>
        <v>0</v>
      </c>
      <c r="O78" s="173">
        <f t="shared" si="24"/>
        <v>0</v>
      </c>
      <c r="P78" s="173">
        <f t="shared" si="24"/>
        <v>0</v>
      </c>
      <c r="Q78" s="173">
        <f t="shared" si="24"/>
        <v>0</v>
      </c>
      <c r="R78" s="173">
        <f t="shared" si="24"/>
        <v>0</v>
      </c>
      <c r="S78" s="173">
        <f t="shared" si="24"/>
        <v>0</v>
      </c>
      <c r="T78" s="173">
        <f t="shared" si="24"/>
        <v>0</v>
      </c>
      <c r="U78" s="173">
        <f t="shared" si="24"/>
        <v>0</v>
      </c>
      <c r="V78" s="173">
        <f t="shared" si="24"/>
        <v>27817.5625</v>
      </c>
      <c r="W78" s="173">
        <f t="shared" si="24"/>
        <v>0</v>
      </c>
      <c r="X78" s="173">
        <f t="shared" si="24"/>
        <v>0</v>
      </c>
      <c r="Y78" s="173">
        <f t="shared" si="24"/>
        <v>0</v>
      </c>
      <c r="Z78" s="173">
        <f t="shared" si="24"/>
        <v>0</v>
      </c>
      <c r="AA78" s="173">
        <f t="shared" si="24"/>
        <v>0</v>
      </c>
      <c r="AB78" s="173">
        <f t="shared" si="24"/>
        <v>0</v>
      </c>
      <c r="AC78" s="173">
        <f t="shared" si="24"/>
        <v>0</v>
      </c>
      <c r="AD78" s="173">
        <f t="shared" si="24"/>
        <v>0</v>
      </c>
      <c r="AE78" s="173">
        <f t="shared" si="24"/>
        <v>0</v>
      </c>
      <c r="AF78" s="173">
        <f t="shared" si="24"/>
        <v>0</v>
      </c>
      <c r="AG78" s="173">
        <f t="shared" si="24"/>
        <v>2781.7562500000004</v>
      </c>
      <c r="AH78" s="173">
        <f t="shared" si="24"/>
        <v>30599.318749999999</v>
      </c>
    </row>
    <row r="79" spans="1:35" ht="11.25">
      <c r="A79" s="171"/>
      <c r="B79" s="172"/>
      <c r="C79" s="172"/>
      <c r="D79" s="172"/>
      <c r="E79" s="159"/>
      <c r="F79" s="172"/>
      <c r="G79" s="172"/>
      <c r="H79" s="173">
        <f>H72+H78</f>
        <v>9</v>
      </c>
      <c r="I79" s="173">
        <f t="shared" ref="I79:AH79" si="25">I72+I78</f>
        <v>214</v>
      </c>
      <c r="J79" s="173">
        <f t="shared" si="25"/>
        <v>346</v>
      </c>
      <c r="K79" s="173">
        <f t="shared" si="25"/>
        <v>138</v>
      </c>
      <c r="L79" s="173">
        <f t="shared" si="25"/>
        <v>50</v>
      </c>
      <c r="M79" s="173">
        <f t="shared" si="25"/>
        <v>43797.962500000001</v>
      </c>
      <c r="N79" s="173">
        <f t="shared" si="25"/>
        <v>1474424.4166666667</v>
      </c>
      <c r="O79" s="173">
        <f t="shared" si="25"/>
        <v>2523179.083333334</v>
      </c>
      <c r="P79" s="173">
        <f t="shared" si="25"/>
        <v>1023064.1666666666</v>
      </c>
      <c r="Q79" s="173">
        <f t="shared" si="25"/>
        <v>344589.74999999994</v>
      </c>
      <c r="R79" s="173">
        <f t="shared" si="25"/>
        <v>11.900000000000004</v>
      </c>
      <c r="S79" s="173">
        <f t="shared" si="25"/>
        <v>84</v>
      </c>
      <c r="T79" s="173">
        <f t="shared" si="25"/>
        <v>146</v>
      </c>
      <c r="U79" s="178">
        <f t="shared" si="25"/>
        <v>37.5</v>
      </c>
      <c r="V79" s="173">
        <f t="shared" si="25"/>
        <v>5523397.6624999996</v>
      </c>
      <c r="W79" s="173">
        <f t="shared" si="25"/>
        <v>143341</v>
      </c>
      <c r="X79" s="173">
        <f t="shared" si="25"/>
        <v>24773</v>
      </c>
      <c r="Y79" s="173">
        <f t="shared" si="25"/>
        <v>248</v>
      </c>
      <c r="Z79" s="173">
        <f t="shared" si="25"/>
        <v>97530.133333333331</v>
      </c>
      <c r="AA79" s="173">
        <f t="shared" si="25"/>
        <v>17697</v>
      </c>
      <c r="AB79" s="173">
        <f t="shared" si="25"/>
        <v>748</v>
      </c>
      <c r="AC79" s="173">
        <f t="shared" si="25"/>
        <v>1609577.2249999999</v>
      </c>
      <c r="AD79" s="173">
        <f t="shared" si="25"/>
        <v>116680</v>
      </c>
      <c r="AE79" s="173">
        <f t="shared" si="25"/>
        <v>0</v>
      </c>
      <c r="AF79" s="173">
        <f t="shared" si="25"/>
        <v>1067496.0541666667</v>
      </c>
      <c r="AG79" s="173">
        <f t="shared" si="25"/>
        <v>540905.5379166666</v>
      </c>
      <c r="AH79" s="173">
        <f t="shared" si="25"/>
        <v>9141397.6129166652</v>
      </c>
    </row>
    <row r="83" spans="4:27" ht="14.25">
      <c r="D83" s="179" t="s">
        <v>37</v>
      </c>
      <c r="X83" s="181" t="s">
        <v>267</v>
      </c>
      <c r="AA83" s="182" t="s">
        <v>39</v>
      </c>
    </row>
    <row r="84" spans="4:27" ht="12.75">
      <c r="AA84" s="182"/>
    </row>
    <row r="85" spans="4:27" ht="14.25">
      <c r="D85" s="179" t="s">
        <v>40</v>
      </c>
      <c r="Y85" s="46" t="s">
        <v>268</v>
      </c>
      <c r="AA85" s="182" t="s">
        <v>42</v>
      </c>
    </row>
  </sheetData>
  <mergeCells count="32">
    <mergeCell ref="AE18:AE19"/>
    <mergeCell ref="AF18:AF19"/>
    <mergeCell ref="AG18:AG19"/>
    <mergeCell ref="A73:AH73"/>
    <mergeCell ref="AE17:AF17"/>
    <mergeCell ref="AH17:AH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M17:Q18"/>
    <mergeCell ref="R17:U18"/>
    <mergeCell ref="V17:V19"/>
    <mergeCell ref="W17:X17"/>
    <mergeCell ref="Y17:Z17"/>
    <mergeCell ref="AB17:AC17"/>
    <mergeCell ref="E13:U13"/>
    <mergeCell ref="D14:U14"/>
    <mergeCell ref="A17:A19"/>
    <mergeCell ref="B17:B19"/>
    <mergeCell ref="C17:D18"/>
    <mergeCell ref="E17:E19"/>
    <mergeCell ref="F17:F19"/>
    <mergeCell ref="G17:G19"/>
    <mergeCell ref="H17:L18"/>
    <mergeCell ref="F3:K3"/>
    <mergeCell ref="D10:U10"/>
    <mergeCell ref="D12:V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2021-02-04T03:14:42Z</dcterms:created>
  <dcterms:modified xsi:type="dcterms:W3CDTF">2021-02-04T03:17:25Z</dcterms:modified>
</cp:coreProperties>
</file>